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Segunda de Feberero 2020" sheetId="2" r:id="rId1"/>
    <sheet name="Hoja3" sheetId="3" r:id="rId2"/>
  </sheets>
  <definedNames>
    <definedName name="_xlnm.Print_Area" localSheetId="0">'Segunda de Feberero 2020'!$B$1:$Y$77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2" l="1"/>
  <c r="H68" i="2" s="1"/>
  <c r="F68" i="2"/>
  <c r="E68" i="2"/>
  <c r="E69" i="2" s="1"/>
  <c r="F69" i="2" s="1"/>
  <c r="W63" i="2"/>
  <c r="U63" i="2"/>
  <c r="R63" i="2"/>
  <c r="P63" i="2"/>
  <c r="O63" i="2"/>
  <c r="N63" i="2"/>
  <c r="M63" i="2"/>
  <c r="K63" i="2"/>
  <c r="J63" i="2"/>
  <c r="H63" i="2"/>
  <c r="G63" i="2"/>
  <c r="E63" i="2"/>
  <c r="X62" i="2"/>
  <c r="X63" i="2" s="1"/>
  <c r="W62" i="2"/>
  <c r="V62" i="2"/>
  <c r="V63" i="2" s="1"/>
  <c r="R62" i="2"/>
  <c r="Q62" i="2"/>
  <c r="Q63" i="2" s="1"/>
  <c r="L62" i="2"/>
  <c r="U59" i="2"/>
  <c r="P59" i="2"/>
  <c r="O59" i="2"/>
  <c r="N59" i="2"/>
  <c r="M59" i="2"/>
  <c r="K59" i="2"/>
  <c r="J59" i="2"/>
  <c r="I59" i="2"/>
  <c r="H59" i="2"/>
  <c r="G59" i="2"/>
  <c r="E59" i="2"/>
  <c r="X58" i="2"/>
  <c r="W58" i="2"/>
  <c r="V58" i="2"/>
  <c r="Y58" i="2" s="1"/>
  <c r="R58" i="2"/>
  <c r="Q58" i="2"/>
  <c r="S58" i="2" s="1"/>
  <c r="L58" i="2"/>
  <c r="T58" i="2" s="1"/>
  <c r="X57" i="2"/>
  <c r="W57" i="2"/>
  <c r="V57" i="2"/>
  <c r="Y57" i="2" s="1"/>
  <c r="R57" i="2"/>
  <c r="S57" i="2" s="1"/>
  <c r="Q57" i="2"/>
  <c r="L57" i="2"/>
  <c r="T57" i="2" s="1"/>
  <c r="X56" i="2"/>
  <c r="Y56" i="2" s="1"/>
  <c r="W56" i="2"/>
  <c r="V56" i="2"/>
  <c r="S56" i="2"/>
  <c r="R56" i="2"/>
  <c r="Q56" i="2"/>
  <c r="L56" i="2"/>
  <c r="T56" i="2" s="1"/>
  <c r="Y55" i="2"/>
  <c r="S55" i="2"/>
  <c r="L55" i="2"/>
  <c r="T55" i="2" s="1"/>
  <c r="Y54" i="2"/>
  <c r="X54" i="2"/>
  <c r="W54" i="2"/>
  <c r="V54" i="2"/>
  <c r="R54" i="2"/>
  <c r="Q54" i="2"/>
  <c r="S54" i="2" s="1"/>
  <c r="L54" i="2"/>
  <c r="X53" i="2"/>
  <c r="X59" i="2" s="1"/>
  <c r="W53" i="2"/>
  <c r="W59" i="2" s="1"/>
  <c r="V53" i="2"/>
  <c r="V59" i="2" s="1"/>
  <c r="R53" i="2"/>
  <c r="R59" i="2" s="1"/>
  <c r="Q53" i="2"/>
  <c r="Q59" i="2" s="1"/>
  <c r="L53" i="2"/>
  <c r="U50" i="2"/>
  <c r="P50" i="2"/>
  <c r="O50" i="2"/>
  <c r="N50" i="2"/>
  <c r="M50" i="2"/>
  <c r="K50" i="2"/>
  <c r="J50" i="2"/>
  <c r="I50" i="2"/>
  <c r="H50" i="2"/>
  <c r="G50" i="2"/>
  <c r="E50" i="2"/>
  <c r="X49" i="2"/>
  <c r="W49" i="2"/>
  <c r="V49" i="2"/>
  <c r="Y49" i="2" s="1"/>
  <c r="R49" i="2"/>
  <c r="S49" i="2" s="1"/>
  <c r="Q49" i="2"/>
  <c r="L49" i="2"/>
  <c r="T49" i="2" s="1"/>
  <c r="X48" i="2"/>
  <c r="Y48" i="2" s="1"/>
  <c r="W48" i="2"/>
  <c r="V48" i="2"/>
  <c r="S48" i="2"/>
  <c r="R48" i="2"/>
  <c r="Q48" i="2"/>
  <c r="L48" i="2"/>
  <c r="T48" i="2" s="1"/>
  <c r="Y47" i="2"/>
  <c r="X47" i="2"/>
  <c r="W47" i="2"/>
  <c r="V47" i="2"/>
  <c r="R47" i="2"/>
  <c r="Q47" i="2"/>
  <c r="S47" i="2" s="1"/>
  <c r="L47" i="2"/>
  <c r="T47" i="2" s="1"/>
  <c r="X46" i="2"/>
  <c r="W46" i="2"/>
  <c r="V46" i="2"/>
  <c r="Y46" i="2" s="1"/>
  <c r="R46" i="2"/>
  <c r="Q46" i="2"/>
  <c r="S46" i="2" s="1"/>
  <c r="L46" i="2"/>
  <c r="T46" i="2" s="1"/>
  <c r="X45" i="2"/>
  <c r="W45" i="2"/>
  <c r="V45" i="2"/>
  <c r="Y45" i="2" s="1"/>
  <c r="R45" i="2"/>
  <c r="S45" i="2" s="1"/>
  <c r="Q45" i="2"/>
  <c r="L45" i="2"/>
  <c r="X44" i="2"/>
  <c r="Y44" i="2" s="1"/>
  <c r="W44" i="2"/>
  <c r="V44" i="2"/>
  <c r="S44" i="2"/>
  <c r="R44" i="2"/>
  <c r="Q44" i="2"/>
  <c r="L44" i="2"/>
  <c r="T44" i="2" s="1"/>
  <c r="Y43" i="2"/>
  <c r="X43" i="2"/>
  <c r="W43" i="2"/>
  <c r="V43" i="2"/>
  <c r="R43" i="2"/>
  <c r="Q43" i="2"/>
  <c r="S43" i="2" s="1"/>
  <c r="L43" i="2"/>
  <c r="T43" i="2" s="1"/>
  <c r="Y42" i="2"/>
  <c r="S42" i="2"/>
  <c r="L42" i="2"/>
  <c r="T42" i="2" s="1"/>
  <c r="X41" i="2"/>
  <c r="W41" i="2"/>
  <c r="V41" i="2"/>
  <c r="Y41" i="2" s="1"/>
  <c r="R41" i="2"/>
  <c r="Q41" i="2"/>
  <c r="S41" i="2" s="1"/>
  <c r="L41" i="2"/>
  <c r="X40" i="2"/>
  <c r="W40" i="2"/>
  <c r="V40" i="2"/>
  <c r="Y40" i="2" s="1"/>
  <c r="R40" i="2"/>
  <c r="S40" i="2" s="1"/>
  <c r="Q40" i="2"/>
  <c r="L40" i="2"/>
  <c r="T40" i="2" s="1"/>
  <c r="X39" i="2"/>
  <c r="Y39" i="2" s="1"/>
  <c r="W39" i="2"/>
  <c r="V39" i="2"/>
  <c r="S39" i="2"/>
  <c r="R39" i="2"/>
  <c r="Q39" i="2"/>
  <c r="L39" i="2"/>
  <c r="T39" i="2" s="1"/>
  <c r="Y38" i="2"/>
  <c r="X38" i="2"/>
  <c r="W38" i="2"/>
  <c r="V38" i="2"/>
  <c r="R38" i="2"/>
  <c r="Q38" i="2"/>
  <c r="S38" i="2" s="1"/>
  <c r="L38" i="2"/>
  <c r="X37" i="2"/>
  <c r="W37" i="2"/>
  <c r="V37" i="2"/>
  <c r="Y37" i="2" s="1"/>
  <c r="R37" i="2"/>
  <c r="Q37" i="2"/>
  <c r="S37" i="2" s="1"/>
  <c r="L37" i="2"/>
  <c r="T37" i="2" s="1"/>
  <c r="X36" i="2"/>
  <c r="W36" i="2"/>
  <c r="V36" i="2"/>
  <c r="Y36" i="2" s="1"/>
  <c r="R36" i="2"/>
  <c r="S36" i="2" s="1"/>
  <c r="Q36" i="2"/>
  <c r="L36" i="2"/>
  <c r="X35" i="2"/>
  <c r="X50" i="2" s="1"/>
  <c r="W35" i="2"/>
  <c r="V35" i="2"/>
  <c r="S35" i="2"/>
  <c r="R35" i="2"/>
  <c r="Q35" i="2"/>
  <c r="L35" i="2"/>
  <c r="T35" i="2" s="1"/>
  <c r="Y34" i="2"/>
  <c r="X34" i="2"/>
  <c r="W34" i="2"/>
  <c r="V34" i="2"/>
  <c r="R34" i="2"/>
  <c r="Q34" i="2"/>
  <c r="S34" i="2" s="1"/>
  <c r="L34" i="2"/>
  <c r="X33" i="2"/>
  <c r="W33" i="2"/>
  <c r="W50" i="2" s="1"/>
  <c r="V33" i="2"/>
  <c r="V50" i="2" s="1"/>
  <c r="R33" i="2"/>
  <c r="R50" i="2" s="1"/>
  <c r="Q33" i="2"/>
  <c r="Q50" i="2" s="1"/>
  <c r="L33" i="2"/>
  <c r="U29" i="2"/>
  <c r="P29" i="2"/>
  <c r="O29" i="2"/>
  <c r="N29" i="2"/>
  <c r="M29" i="2"/>
  <c r="K29" i="2"/>
  <c r="J29" i="2"/>
  <c r="H29" i="2"/>
  <c r="G29" i="2"/>
  <c r="E29" i="2"/>
  <c r="X28" i="2"/>
  <c r="W28" i="2"/>
  <c r="V28" i="2"/>
  <c r="Y28" i="2" s="1"/>
  <c r="R28" i="2"/>
  <c r="Q28" i="2"/>
  <c r="S28" i="2" s="1"/>
  <c r="L28" i="2"/>
  <c r="X27" i="2"/>
  <c r="W27" i="2"/>
  <c r="W29" i="2" s="1"/>
  <c r="V27" i="2"/>
  <c r="Y27" i="2" s="1"/>
  <c r="R27" i="2"/>
  <c r="S27" i="2" s="1"/>
  <c r="Q27" i="2"/>
  <c r="L27" i="2"/>
  <c r="T27" i="2" s="1"/>
  <c r="X26" i="2"/>
  <c r="Y26" i="2" s="1"/>
  <c r="W26" i="2"/>
  <c r="V26" i="2"/>
  <c r="S26" i="2"/>
  <c r="R26" i="2"/>
  <c r="Q26" i="2"/>
  <c r="L26" i="2"/>
  <c r="T26" i="2" s="1"/>
  <c r="Y25" i="2"/>
  <c r="X25" i="2"/>
  <c r="W25" i="2"/>
  <c r="V25" i="2"/>
  <c r="V29" i="2" s="1"/>
  <c r="R25" i="2"/>
  <c r="R29" i="2" s="1"/>
  <c r="Q25" i="2"/>
  <c r="S25" i="2" s="1"/>
  <c r="L25" i="2"/>
  <c r="L29" i="2" s="1"/>
  <c r="U22" i="2"/>
  <c r="P22" i="2"/>
  <c r="O22" i="2"/>
  <c r="N22" i="2"/>
  <c r="M22" i="2"/>
  <c r="K22" i="2"/>
  <c r="J22" i="2"/>
  <c r="H22" i="2"/>
  <c r="G22" i="2"/>
  <c r="E22" i="2"/>
  <c r="Y21" i="2"/>
  <c r="X21" i="2"/>
  <c r="W21" i="2"/>
  <c r="V21" i="2"/>
  <c r="R21" i="2"/>
  <c r="Q21" i="2"/>
  <c r="S21" i="2" s="1"/>
  <c r="L21" i="2"/>
  <c r="T21" i="2" s="1"/>
  <c r="X20" i="2"/>
  <c r="W20" i="2"/>
  <c r="V20" i="2"/>
  <c r="Y20" i="2" s="1"/>
  <c r="R20" i="2"/>
  <c r="Q20" i="2"/>
  <c r="S20" i="2" s="1"/>
  <c r="L20" i="2"/>
  <c r="T20" i="2" s="1"/>
  <c r="X19" i="2"/>
  <c r="W19" i="2"/>
  <c r="V19" i="2"/>
  <c r="Y19" i="2" s="1"/>
  <c r="R19" i="2"/>
  <c r="S19" i="2" s="1"/>
  <c r="Q19" i="2"/>
  <c r="L19" i="2"/>
  <c r="X18" i="2"/>
  <c r="Y18" i="2" s="1"/>
  <c r="W18" i="2"/>
  <c r="V18" i="2"/>
  <c r="S18" i="2"/>
  <c r="R18" i="2"/>
  <c r="Q18" i="2"/>
  <c r="L18" i="2"/>
  <c r="T18" i="2" s="1"/>
  <c r="Y17" i="2"/>
  <c r="X17" i="2"/>
  <c r="W17" i="2"/>
  <c r="V17" i="2"/>
  <c r="R17" i="2"/>
  <c r="Q17" i="2"/>
  <c r="S17" i="2" s="1"/>
  <c r="L17" i="2"/>
  <c r="T17" i="2" s="1"/>
  <c r="X16" i="2"/>
  <c r="W16" i="2"/>
  <c r="V16" i="2"/>
  <c r="Y16" i="2" s="1"/>
  <c r="R16" i="2"/>
  <c r="Q16" i="2"/>
  <c r="S16" i="2" s="1"/>
  <c r="L16" i="2"/>
  <c r="X15" i="2"/>
  <c r="W15" i="2"/>
  <c r="V15" i="2"/>
  <c r="Y15" i="2" s="1"/>
  <c r="R15" i="2"/>
  <c r="R22" i="2" s="1"/>
  <c r="Q15" i="2"/>
  <c r="L15" i="2"/>
  <c r="X14" i="2"/>
  <c r="Y14" i="2" s="1"/>
  <c r="W14" i="2"/>
  <c r="V14" i="2"/>
  <c r="S14" i="2"/>
  <c r="R14" i="2"/>
  <c r="Q14" i="2"/>
  <c r="L14" i="2"/>
  <c r="T14" i="2" s="1"/>
  <c r="Y13" i="2"/>
  <c r="X13" i="2"/>
  <c r="W13" i="2"/>
  <c r="V13" i="2"/>
  <c r="R13" i="2"/>
  <c r="Q13" i="2"/>
  <c r="S13" i="2" s="1"/>
  <c r="L13" i="2"/>
  <c r="X12" i="2"/>
  <c r="X22" i="2" s="1"/>
  <c r="W12" i="2"/>
  <c r="W22" i="2" s="1"/>
  <c r="V12" i="2"/>
  <c r="V22" i="2" s="1"/>
  <c r="R12" i="2"/>
  <c r="Q12" i="2"/>
  <c r="Q22" i="2" s="1"/>
  <c r="L12" i="2"/>
  <c r="U9" i="2"/>
  <c r="U66" i="2" s="1"/>
  <c r="P9" i="2"/>
  <c r="P66" i="2" s="1"/>
  <c r="O9" i="2"/>
  <c r="O66" i="2" s="1"/>
  <c r="N9" i="2"/>
  <c r="N66" i="2" s="1"/>
  <c r="M9" i="2"/>
  <c r="M66" i="2" s="1"/>
  <c r="L9" i="2"/>
  <c r="K9" i="2"/>
  <c r="K66" i="2" s="1"/>
  <c r="J9" i="2"/>
  <c r="J66" i="2" s="1"/>
  <c r="H9" i="2"/>
  <c r="H66" i="2" s="1"/>
  <c r="G9" i="2"/>
  <c r="G66" i="2" s="1"/>
  <c r="E9" i="2"/>
  <c r="E66" i="2" s="1"/>
  <c r="X8" i="2"/>
  <c r="W8" i="2"/>
  <c r="V8" i="2"/>
  <c r="Y8" i="2" s="1"/>
  <c r="R8" i="2"/>
  <c r="Q8" i="2"/>
  <c r="S8" i="2" s="1"/>
  <c r="L8" i="2"/>
  <c r="X7" i="2"/>
  <c r="X9" i="2" s="1"/>
  <c r="W7" i="2"/>
  <c r="W9" i="2" s="1"/>
  <c r="V7" i="2"/>
  <c r="V9" i="2" s="1"/>
  <c r="R7" i="2"/>
  <c r="R9" i="2" s="1"/>
  <c r="R66" i="2" s="1"/>
  <c r="Q7" i="2"/>
  <c r="Q9" i="2" s="1"/>
  <c r="L7" i="2"/>
  <c r="S29" i="2" l="1"/>
  <c r="T25" i="2"/>
  <c r="T7" i="2"/>
  <c r="T9" i="2" s="1"/>
  <c r="W66" i="2"/>
  <c r="Y29" i="2"/>
  <c r="T34" i="2"/>
  <c r="T53" i="2"/>
  <c r="T59" i="2" s="1"/>
  <c r="T13" i="2"/>
  <c r="T16" i="2"/>
  <c r="T19" i="2"/>
  <c r="T45" i="2"/>
  <c r="V66" i="2"/>
  <c r="F70" i="2"/>
  <c r="T8" i="2"/>
  <c r="T28" i="2"/>
  <c r="T36" i="2"/>
  <c r="T38" i="2"/>
  <c r="T41" i="2"/>
  <c r="T54" i="2"/>
  <c r="S15" i="2"/>
  <c r="T15" i="2" s="1"/>
  <c r="X29" i="2"/>
  <c r="X66" i="2" s="1"/>
  <c r="Y35" i="2"/>
  <c r="L50" i="2"/>
  <c r="G69" i="2"/>
  <c r="H69" i="2" s="1"/>
  <c r="H70" i="2" s="1"/>
  <c r="Y7" i="2"/>
  <c r="Y9" i="2" s="1"/>
  <c r="S12" i="2"/>
  <c r="L22" i="2"/>
  <c r="L66" i="2" s="1"/>
  <c r="Q29" i="2"/>
  <c r="Q66" i="2" s="1"/>
  <c r="S33" i="2"/>
  <c r="S50" i="2" s="1"/>
  <c r="S53" i="2"/>
  <c r="S59" i="2" s="1"/>
  <c r="L59" i="2"/>
  <c r="L63" i="2"/>
  <c r="S7" i="2"/>
  <c r="S9" i="2" s="1"/>
  <c r="Y12" i="2"/>
  <c r="Y22" i="2" s="1"/>
  <c r="Y33" i="2"/>
  <c r="Y50" i="2" s="1"/>
  <c r="Y53" i="2"/>
  <c r="Y59" i="2" s="1"/>
  <c r="S62" i="2"/>
  <c r="S63" i="2" s="1"/>
  <c r="Y62" i="2"/>
  <c r="Y63" i="2" s="1"/>
  <c r="T29" i="2" l="1"/>
  <c r="S22" i="2"/>
  <c r="S66" i="2" s="1"/>
  <c r="T62" i="2"/>
  <c r="T63" i="2" s="1"/>
  <c r="Y66" i="2"/>
  <c r="T33" i="2"/>
  <c r="T50" i="2" s="1"/>
  <c r="T12" i="2"/>
  <c r="T22" i="2" s="1"/>
  <c r="T66" i="2" s="1"/>
</calcChain>
</file>

<file path=xl/sharedStrings.xml><?xml version="1.0" encoding="utf-8"?>
<sst xmlns="http://schemas.openxmlformats.org/spreadsheetml/2006/main" count="173" uniqueCount="151">
  <si>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</si>
  <si>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</si>
  <si>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</si>
  <si>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</si>
  <si>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</si>
  <si>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</si>
  <si>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</si>
  <si>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</si>
  <si>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</si>
  <si>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</si>
  <si>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</si>
  <si>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</si>
  <si>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</si>
  <si>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</si>
  <si>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</si>
  <si>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</si>
  <si>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</si>
  <si>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</si>
  <si>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</si>
  <si>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</si>
  <si>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</si>
  <si>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</si>
  <si>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</si>
  <si>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</si>
  <si>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</si>
  <si>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</si>
  <si>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</si>
  <si>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</si>
  <si>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</si>
  <si>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</si>
  <si>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</si>
  <si>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</si>
  <si>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</si>
  <si>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</si>
  <si>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</si>
  <si>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</si>
  <si>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</si>
  <si>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</si>
  <si>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</si>
  <si>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</si>
  <si>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</si>
  <si>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</si>
  <si>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</si>
  <si>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</si>
  <si>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</si>
  <si>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</si>
  <si>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</si>
  <si>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</si>
  <si>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</si>
  <si>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</si>
  <si>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</si>
  <si>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</si>
  <si>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</si>
  <si>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</si>
  <si>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</si>
  <si>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</si>
  <si>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</si>
  <si>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</si>
  <si>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</si>
  <si>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</si>
  <si>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</si>
  <si>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</si>
  <si>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</si>
  <si>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</si>
  <si>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</si>
  <si>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</si>
  <si>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</si>
  <si>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</si>
  <si>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</si>
  <si>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</si>
  <si>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</si>
  <si>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</si>
  <si>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</si>
  <si>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</si>
  <si>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</si>
  <si>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</si>
  <si>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</si>
  <si>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</si>
  <si>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</si>
  <si>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</si>
  <si>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</si>
  <si>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</si>
  <si>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</si>
  <si>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</si>
  <si>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</si>
  <si>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</si>
  <si>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</si>
  <si>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</si>
  <si>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</si>
  <si>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</si>
  <si>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</si>
  <si>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</si>
  <si>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</si>
  <si>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</si>
  <si>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</si>
  <si>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</si>
  <si>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</si>
  <si>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</si>
  <si>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</si>
  <si>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</si>
  <si>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</si>
  <si>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</si>
  <si>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</si>
  <si>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</si>
  <si>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</si>
  <si>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</si>
  <si>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</si>
  <si>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</si>
  <si>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</si>
  <si>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</si>
  <si>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</si>
  <si>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</si>
  <si>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</si>
  <si>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</si>
  <si>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</si>
  <si>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</si>
  <si>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</si>
  <si>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</si>
  <si>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</si>
  <si>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</si>
  <si>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</si>
  <si>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</si>
  <si>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</si>
  <si>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</si>
  <si>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</si>
  <si>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</si>
  <si>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</si>
  <si>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</si>
  <si>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</si>
  <si>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</si>
  <si>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</si>
  <si>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</si>
  <si>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</si>
  <si>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</si>
  <si>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</si>
  <si>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</si>
  <si>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</si>
  <si>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</si>
  <si>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</si>
  <si>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</si>
  <si>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</si>
  <si>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</si>
  <si>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</si>
  <si>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</si>
  <si>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</si>
  <si>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</si>
  <si>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</si>
  <si>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FEBRERO   2020</t>
  </si>
  <si>
    <t>Retroactivo</t>
  </si>
  <si>
    <t>Retroactivo Pensiones</t>
  </si>
  <si>
    <t>Retroactivo SEDAR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</si>
</sst>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44" fontId="13" fillId="7" borderId="0" xfId="1" applyFont="1" applyFill="1"/>
    <xf numFmtId="4" fontId="14" fillId="0" borderId="0" xfId="0" applyNumberFormat="1" applyFont="1"/>
    <xf numFmtId="4" fontId="2" fillId="8" borderId="0" xfId="0" applyNumberFormat="1" applyFont="1" applyFill="1"/>
    <xf numFmtId="2" fontId="2" fillId="0" borderId="0" xfId="0" applyNumberFormat="1" applyFont="1"/>
    <xf numFmtId="4" fontId="2" fillId="6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4" fontId="13" fillId="0" borderId="0" xfId="0" applyNumberFormat="1" applyFont="1"/>
    <xf numFmtId="4" fontId="13" fillId="10" borderId="0" xfId="0" applyNumberFormat="1" applyFont="1" applyFill="1"/>
    <xf numFmtId="4" fontId="13" fillId="3" borderId="7" xfId="0" applyNumberFormat="1" applyFont="1" applyFill="1" applyBorder="1"/>
    <xf numFmtId="4" fontId="18" fillId="0" borderId="0" xfId="0" applyNumberFormat="1" applyFont="1"/>
    <xf numFmtId="4" fontId="13" fillId="4" borderId="7" xfId="0" applyNumberFormat="1" applyFont="1" applyFill="1" applyBorder="1"/>
    <xf numFmtId="4" fontId="6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49" fontId="5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4" fontId="2" fillId="0" borderId="7" xfId="0" applyNumberFormat="1" applyFont="1" applyBorder="1"/>
    <xf numFmtId="4" fontId="3" fillId="0" borderId="7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Border="1"/>
    <xf numFmtId="2" fontId="2" fillId="6" borderId="7" xfId="0" applyNumberFormat="1" applyFont="1" applyFill="1" applyBorder="1"/>
    <xf numFmtId="44" fontId="2" fillId="4" borderId="7" xfId="0" applyNumberFormat="1" applyFont="1" applyFill="1" applyBorder="1"/>
    <xf numFmtId="4" fontId="10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44" fontId="13" fillId="7" borderId="7" xfId="1" applyFont="1" applyFill="1" applyBorder="1"/>
    <xf numFmtId="4" fontId="14" fillId="0" borderId="7" xfId="0" applyNumberFormat="1" applyFont="1" applyBorder="1"/>
    <xf numFmtId="0" fontId="8" fillId="0" borderId="7" xfId="0" applyFont="1" applyBorder="1" applyAlignment="1">
      <alignment wrapText="1"/>
    </xf>
    <xf numFmtId="4" fontId="10" fillId="0" borderId="7" xfId="1" applyNumberFormat="1" applyFont="1" applyBorder="1" applyAlignment="1">
      <alignment horizontal="center"/>
    </xf>
    <xf numFmtId="4" fontId="2" fillId="0" borderId="7" xfId="1" applyNumberFormat="1" applyFont="1" applyBorder="1"/>
    <xf numFmtId="4" fontId="2" fillId="8" borderId="7" xfId="0" applyNumberFormat="1" applyFont="1" applyFill="1" applyBorder="1"/>
    <xf numFmtId="0" fontId="0" fillId="0" borderId="7" xfId="0" applyBorder="1" applyAlignment="1">
      <alignment wrapText="1"/>
    </xf>
    <xf numFmtId="2" fontId="2" fillId="0" borderId="7" xfId="0" applyNumberFormat="1" applyFont="1" applyBorder="1"/>
    <xf numFmtId="4" fontId="2" fillId="6" borderId="7" xfId="0" applyNumberFormat="1" applyFont="1" applyFill="1" applyBorder="1"/>
    <xf numFmtId="4" fontId="9" fillId="9" borderId="7" xfId="0" applyNumberFormat="1" applyFont="1" applyFill="1" applyBorder="1"/>
    <xf numFmtId="4" fontId="15" fillId="8" borderId="7" xfId="0" applyNumberFormat="1" applyFont="1" applyFill="1" applyBorder="1"/>
    <xf numFmtId="4" fontId="16" fillId="5" borderId="7" xfId="0" applyNumberFormat="1" applyFont="1" applyFill="1" applyBorder="1"/>
    <xf numFmtId="4" fontId="9" fillId="4" borderId="7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439431</xdr:colOff>
      <xdr:row>0</xdr:row>
      <xdr:rowOff>0</xdr:rowOff>
    </xdr:from>
    <xdr:to>
      <xdr:col>3</xdr:col>
      <xdr:colOff>387012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47FEE-9EA3-437D-A4E5-E937B0E3C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31" y="0"/>
          <a:ext cx="1623981" cy="87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G1" workbookViewId="0">
      <selection activeCell="B1" sqref="B1:Y77"/>
    </sheetView>
  </sheetViews>
  <sheetFormatPr baseColWidth="10" defaultRowHeight="14.25" x14ac:dyDescent="0.2"/>
  <cols>
    <col min="1" max="1" width="0" hidden="1" customWidth="1"/>
    <col min="5" max="5" width="17.5" customWidth="1"/>
    <col min="7" max="7" width="14.25" customWidth="1"/>
    <col min="8" max="8" width="16.125" hidden="1" customWidth="1"/>
    <col min="11" max="11" width="0" hidden="1" customWidth="1"/>
    <col min="12" max="12" width="18.375" customWidth="1"/>
    <col min="15" max="15" width="15.25" customWidth="1"/>
    <col min="17" max="17" width="15.25" hidden="1" customWidth="1"/>
    <col min="18" max="18" width="0" hidden="1" customWidth="1"/>
    <col min="19" max="19" width="15.75" customWidth="1"/>
    <col min="20" max="20" width="15.375" hidden="1" customWidth="1"/>
    <col min="21" max="21" width="15.625" customWidth="1"/>
    <col min="22" max="22" width="14" hidden="1" customWidth="1"/>
    <col min="23" max="24" width="0" hidden="1" customWidth="1"/>
    <col min="25" max="25" width="15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</row>
    <row r="3" spans="1:25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1"/>
      <c r="V3" s="1"/>
      <c r="W3" s="1"/>
      <c r="X3" s="1"/>
      <c r="Y3" s="1"/>
    </row>
    <row r="4" spans="1:25" ht="18.75" x14ac:dyDescent="0.25">
      <c r="A4" s="1"/>
      <c r="B4" s="77" t="s">
        <v>147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56.25" x14ac:dyDescent="0.2">
      <c r="A5" s="5"/>
      <c r="B5" s="43" t="s">
        <v>0</v>
      </c>
      <c r="C5" s="6" t="s">
        <v>1</v>
      </c>
      <c r="D5" s="7" t="s">
        <v>2</v>
      </c>
      <c r="E5" s="8" t="s">
        <v>3</v>
      </c>
      <c r="F5" s="11" t="s">
        <v>4</v>
      </c>
      <c r="G5" s="8" t="s">
        <v>148</v>
      </c>
      <c r="H5" s="9" t="s">
        <v>5</v>
      </c>
      <c r="I5" s="6" t="s">
        <v>6</v>
      </c>
      <c r="J5" s="10" t="s">
        <v>7</v>
      </c>
      <c r="K5" s="7" t="s">
        <v>8</v>
      </c>
      <c r="L5" s="7" t="s">
        <v>9</v>
      </c>
      <c r="M5" s="10" t="s">
        <v>10</v>
      </c>
      <c r="N5" s="11" t="s">
        <v>11</v>
      </c>
      <c r="O5" s="11" t="s">
        <v>12</v>
      </c>
      <c r="P5" s="11" t="s">
        <v>13</v>
      </c>
      <c r="Q5" s="44" t="s">
        <v>14</v>
      </c>
      <c r="R5" s="36" t="s">
        <v>149</v>
      </c>
      <c r="S5" s="12" t="s">
        <v>15</v>
      </c>
      <c r="T5" s="45" t="s">
        <v>16</v>
      </c>
      <c r="U5" s="10" t="s">
        <v>17</v>
      </c>
      <c r="V5" s="10" t="s">
        <v>18</v>
      </c>
      <c r="W5" s="7" t="s">
        <v>19</v>
      </c>
      <c r="X5" s="7" t="s">
        <v>150</v>
      </c>
      <c r="Y5" s="7" t="s">
        <v>20</v>
      </c>
    </row>
    <row r="6" spans="1:25" ht="15.75" x14ac:dyDescent="0.25">
      <c r="A6" s="1"/>
      <c r="B6" s="46" t="s">
        <v>21</v>
      </c>
      <c r="C6" s="46" t="s">
        <v>22</v>
      </c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9"/>
      <c r="V6" s="49"/>
      <c r="W6" s="49"/>
      <c r="X6" s="49"/>
      <c r="Y6" s="49"/>
    </row>
    <row r="7" spans="1:25" ht="64.5" x14ac:dyDescent="0.35">
      <c r="A7" s="1"/>
      <c r="B7" s="50" t="s">
        <v>23</v>
      </c>
      <c r="C7" s="51" t="s">
        <v>24</v>
      </c>
      <c r="D7" s="50" t="s">
        <v>25</v>
      </c>
      <c r="E7" s="47">
        <v>24148.799999999999</v>
      </c>
      <c r="F7" s="52">
        <v>15</v>
      </c>
      <c r="G7" s="53">
        <v>3908.98</v>
      </c>
      <c r="H7" s="54">
        <v>5036</v>
      </c>
      <c r="I7" s="47"/>
      <c r="J7" s="47"/>
      <c r="K7" s="47"/>
      <c r="L7" s="47">
        <f>E7+-J7+G7</f>
        <v>28057.78</v>
      </c>
      <c r="M7" s="47">
        <v>0</v>
      </c>
      <c r="N7" s="47"/>
      <c r="O7" s="47">
        <v>6300.28</v>
      </c>
      <c r="P7" s="47">
        <v>0.06</v>
      </c>
      <c r="Q7" s="55">
        <f>ROUND(E7*0.115,2)</f>
        <v>2777.11</v>
      </c>
      <c r="R7" s="55">
        <f>ROUND(G7*0.115,2)</f>
        <v>449.53</v>
      </c>
      <c r="S7" s="47">
        <f>SUM(O7:R7)+H7</f>
        <v>14562.980000000001</v>
      </c>
      <c r="T7" s="56">
        <f>L7-S7</f>
        <v>13494.799999999997</v>
      </c>
      <c r="U7" s="57">
        <v>837.72</v>
      </c>
      <c r="V7" s="47">
        <f>+E7*17.5%+E7*3%</f>
        <v>4950.5039999999999</v>
      </c>
      <c r="W7" s="58">
        <f>ROUND(+E7*2%,2)</f>
        <v>482.98</v>
      </c>
      <c r="X7" s="58">
        <f>ROUND(+G7*2%,2)</f>
        <v>78.180000000000007</v>
      </c>
      <c r="Y7" s="59">
        <f>SUM(U7:X7)</f>
        <v>6349.384</v>
      </c>
    </row>
    <row r="8" spans="1:25" ht="64.5" x14ac:dyDescent="0.35">
      <c r="A8" s="1"/>
      <c r="B8" s="50" t="s">
        <v>26</v>
      </c>
      <c r="C8" s="51" t="s">
        <v>27</v>
      </c>
      <c r="D8" s="50" t="s">
        <v>28</v>
      </c>
      <c r="E8" s="47">
        <v>6705.32</v>
      </c>
      <c r="F8" s="52">
        <v>15</v>
      </c>
      <c r="G8" s="53">
        <v>623.75</v>
      </c>
      <c r="H8" s="47"/>
      <c r="I8" s="47"/>
      <c r="J8" s="60">
        <v>3.19</v>
      </c>
      <c r="K8" s="47"/>
      <c r="L8" s="47">
        <f>E8+-J8+G8</f>
        <v>7325.88</v>
      </c>
      <c r="M8" s="47">
        <v>0</v>
      </c>
      <c r="N8" s="47"/>
      <c r="O8" s="47">
        <v>927.23</v>
      </c>
      <c r="P8" s="47">
        <v>0.21</v>
      </c>
      <c r="Q8" s="55">
        <f>ROUND(E8*0.115,2)</f>
        <v>771.11</v>
      </c>
      <c r="R8" s="55">
        <f>ROUND(G8*0.115,2)</f>
        <v>71.73</v>
      </c>
      <c r="S8" s="47">
        <f>SUM(O8:R8)+H8</f>
        <v>1770.2800000000002</v>
      </c>
      <c r="T8" s="56">
        <f>L8-S8</f>
        <v>5555.6</v>
      </c>
      <c r="U8" s="57">
        <v>377.28</v>
      </c>
      <c r="V8" s="47">
        <f>+E8*17.5%+E8*3%</f>
        <v>1374.5905999999998</v>
      </c>
      <c r="W8" s="58">
        <f>ROUND(+E8*2%,2)</f>
        <v>134.11000000000001</v>
      </c>
      <c r="X8" s="58">
        <f>ROUND(+G8*2%,2)</f>
        <v>12.48</v>
      </c>
      <c r="Y8" s="59">
        <f>SUM(U8:X8)</f>
        <v>1898.4605999999999</v>
      </c>
    </row>
    <row r="9" spans="1:25" ht="24" x14ac:dyDescent="0.3">
      <c r="A9" s="1"/>
      <c r="B9" s="61" t="s">
        <v>29</v>
      </c>
      <c r="C9" s="62"/>
      <c r="D9" s="63"/>
      <c r="E9" s="64">
        <f>SUM(E7:E8)</f>
        <v>30854.12</v>
      </c>
      <c r="F9" s="64"/>
      <c r="G9" s="64">
        <f>+G8+G7</f>
        <v>4532.7299999999996</v>
      </c>
      <c r="H9" s="64">
        <f>+H8+H7</f>
        <v>5036</v>
      </c>
      <c r="I9" s="64"/>
      <c r="J9" s="64">
        <f t="shared" ref="J9:K9" si="0">SUM(J7:J8)</f>
        <v>3.19</v>
      </c>
      <c r="K9" s="64">
        <f t="shared" si="0"/>
        <v>0</v>
      </c>
      <c r="L9" s="64">
        <f>SUM(L7:L8)</f>
        <v>35383.659999999996</v>
      </c>
      <c r="M9" s="64">
        <f t="shared" ref="M9:Y9" si="1">SUM(M7:M8)</f>
        <v>0</v>
      </c>
      <c r="N9" s="64">
        <f t="shared" si="1"/>
        <v>0</v>
      </c>
      <c r="O9" s="64">
        <f t="shared" si="1"/>
        <v>7227.51</v>
      </c>
      <c r="P9" s="64">
        <f t="shared" si="1"/>
        <v>0.27</v>
      </c>
      <c r="Q9" s="64">
        <f>SUM(Q7:Q8)</f>
        <v>3548.2200000000003</v>
      </c>
      <c r="R9" s="64">
        <f>SUM(R7:R8)</f>
        <v>521.26</v>
      </c>
      <c r="S9" s="64">
        <f t="shared" si="1"/>
        <v>16333.260000000002</v>
      </c>
      <c r="T9" s="64">
        <f>SUM(T7:T8)</f>
        <v>19050.399999999998</v>
      </c>
      <c r="U9" s="64">
        <f t="shared" si="1"/>
        <v>1215</v>
      </c>
      <c r="V9" s="64">
        <f t="shared" si="1"/>
        <v>6325.0945999999994</v>
      </c>
      <c r="W9" s="64">
        <f t="shared" si="1"/>
        <v>617.09</v>
      </c>
      <c r="X9" s="64">
        <f>SUM(X7:X8)</f>
        <v>90.660000000000011</v>
      </c>
      <c r="Y9" s="64">
        <f t="shared" si="1"/>
        <v>8247.8446000000004</v>
      </c>
    </row>
    <row r="10" spans="1:25" ht="18.75" x14ac:dyDescent="0.3">
      <c r="A10" s="1"/>
      <c r="B10" s="50"/>
      <c r="C10" s="51"/>
      <c r="D10" s="5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5"/>
      <c r="U10" s="49"/>
      <c r="V10" s="49"/>
      <c r="W10" s="49"/>
      <c r="X10" s="49"/>
      <c r="Y10" s="49"/>
    </row>
    <row r="11" spans="1:25" ht="48" x14ac:dyDescent="0.3">
      <c r="A11" s="1"/>
      <c r="B11" s="66" t="s">
        <v>30</v>
      </c>
      <c r="C11" s="62" t="s">
        <v>31</v>
      </c>
      <c r="D11" s="5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65"/>
      <c r="U11" s="49"/>
      <c r="V11" s="49"/>
      <c r="W11" s="49"/>
      <c r="X11" s="49"/>
      <c r="Y11" s="49"/>
    </row>
    <row r="12" spans="1:25" ht="64.5" x14ac:dyDescent="0.35">
      <c r="A12" s="1"/>
      <c r="B12" s="50" t="s">
        <v>32</v>
      </c>
      <c r="C12" s="51" t="s">
        <v>33</v>
      </c>
      <c r="D12" s="50" t="s">
        <v>34</v>
      </c>
      <c r="E12" s="47">
        <v>13520</v>
      </c>
      <c r="F12" s="52">
        <v>15</v>
      </c>
      <c r="G12" s="52"/>
      <c r="H12" s="54">
        <v>2535</v>
      </c>
      <c r="I12" s="47"/>
      <c r="J12" s="47"/>
      <c r="K12" s="47"/>
      <c r="L12" s="47">
        <f>E12+-J12+G12</f>
        <v>13520</v>
      </c>
      <c r="M12" s="47">
        <v>0</v>
      </c>
      <c r="N12" s="47"/>
      <c r="O12" s="47">
        <v>2283.5500000000002</v>
      </c>
      <c r="P12" s="47">
        <v>-0.15</v>
      </c>
      <c r="Q12" s="55">
        <f t="shared" ref="Q12:Q21" si="2">ROUND(E12*0.115,2)</f>
        <v>1554.8</v>
      </c>
      <c r="R12" s="55">
        <f>ROUND(G12*0.115,2)</f>
        <v>0</v>
      </c>
      <c r="S12" s="47">
        <f>SUM(O12:R12)+H12</f>
        <v>6373.2</v>
      </c>
      <c r="T12" s="56">
        <f t="shared" ref="T12:T21" si="3">L12-S12</f>
        <v>7146.8</v>
      </c>
      <c r="U12" s="57">
        <v>557.16999999999996</v>
      </c>
      <c r="V12" s="47">
        <f t="shared" ref="V12:V21" si="4">ROUND(+E12*17.5%,2)+ROUND(E12*3%,2)</f>
        <v>2771.6</v>
      </c>
      <c r="W12" s="58">
        <f t="shared" ref="W12:W21" si="5">ROUND(+E12*2%,2)</f>
        <v>270.39999999999998</v>
      </c>
      <c r="X12" s="58">
        <f>ROUND(+G12*2%,2)</f>
        <v>0</v>
      </c>
      <c r="Y12" s="59">
        <f>SUM(U12:X12)</f>
        <v>3599.17</v>
      </c>
    </row>
    <row r="13" spans="1:25" ht="48.75" x14ac:dyDescent="0.35">
      <c r="A13" s="1"/>
      <c r="B13" s="50" t="s">
        <v>35</v>
      </c>
      <c r="C13" s="51" t="s">
        <v>36</v>
      </c>
      <c r="D13" s="50" t="s">
        <v>37</v>
      </c>
      <c r="E13" s="47">
        <v>7513.82</v>
      </c>
      <c r="F13" s="52">
        <v>15</v>
      </c>
      <c r="G13" s="52">
        <v>698.96</v>
      </c>
      <c r="H13" s="47"/>
      <c r="I13" s="47"/>
      <c r="J13" s="67"/>
      <c r="K13" s="68"/>
      <c r="L13" s="47">
        <f t="shared" ref="L13:L21" si="6">E13+-J13+G13</f>
        <v>8212.7799999999988</v>
      </c>
      <c r="M13" s="47">
        <v>0</v>
      </c>
      <c r="N13" s="47"/>
      <c r="O13" s="47">
        <v>1116.03</v>
      </c>
      <c r="P13" s="47">
        <v>0.08</v>
      </c>
      <c r="Q13" s="55">
        <f t="shared" si="2"/>
        <v>864.09</v>
      </c>
      <c r="R13" s="55">
        <f t="shared" ref="R13:R21" si="7">ROUND(G13*0.115,2)</f>
        <v>80.38</v>
      </c>
      <c r="S13" s="47">
        <f t="shared" ref="S13:S21" si="8">SUM(O13:R13)+H13</f>
        <v>2060.58</v>
      </c>
      <c r="T13" s="56">
        <f t="shared" si="3"/>
        <v>6152.1999999999989</v>
      </c>
      <c r="U13" s="57">
        <v>397.64</v>
      </c>
      <c r="V13" s="47">
        <f t="shared" si="4"/>
        <v>1540.3300000000002</v>
      </c>
      <c r="W13" s="58">
        <f t="shared" si="5"/>
        <v>150.28</v>
      </c>
      <c r="X13" s="58">
        <f t="shared" ref="X13:X21" si="9">ROUND(+G13*2%,2)</f>
        <v>13.98</v>
      </c>
      <c r="Y13" s="59">
        <f t="shared" ref="Y13:Y21" si="10">SUM(U13:X13)</f>
        <v>2102.2300000000005</v>
      </c>
    </row>
    <row r="14" spans="1:25" ht="48.75" x14ac:dyDescent="0.35">
      <c r="A14" s="1"/>
      <c r="B14" s="50" t="s">
        <v>38</v>
      </c>
      <c r="C14" s="51" t="s">
        <v>39</v>
      </c>
      <c r="D14" s="50" t="s">
        <v>40</v>
      </c>
      <c r="E14" s="47">
        <v>7513.82</v>
      </c>
      <c r="F14" s="52">
        <v>15</v>
      </c>
      <c r="G14" s="52">
        <v>698.96</v>
      </c>
      <c r="H14" s="69"/>
      <c r="I14" s="47"/>
      <c r="J14" s="67">
        <v>10.73</v>
      </c>
      <c r="K14" s="68"/>
      <c r="L14" s="47">
        <f t="shared" si="6"/>
        <v>8202.0499999999993</v>
      </c>
      <c r="M14" s="47">
        <v>0</v>
      </c>
      <c r="N14" s="47"/>
      <c r="O14" s="47">
        <v>1116.03</v>
      </c>
      <c r="P14" s="47">
        <v>-0.05</v>
      </c>
      <c r="Q14" s="55">
        <f t="shared" si="2"/>
        <v>864.09</v>
      </c>
      <c r="R14" s="55">
        <f t="shared" si="7"/>
        <v>80.38</v>
      </c>
      <c r="S14" s="47">
        <f t="shared" si="8"/>
        <v>2060.4500000000003</v>
      </c>
      <c r="T14" s="56">
        <f t="shared" si="3"/>
        <v>6141.5999999999985</v>
      </c>
      <c r="U14" s="57">
        <v>397.64</v>
      </c>
      <c r="V14" s="47">
        <f t="shared" si="4"/>
        <v>1540.3300000000002</v>
      </c>
      <c r="W14" s="58">
        <f t="shared" si="5"/>
        <v>150.28</v>
      </c>
      <c r="X14" s="58">
        <f t="shared" si="9"/>
        <v>13.98</v>
      </c>
      <c r="Y14" s="59">
        <f t="shared" si="10"/>
        <v>2102.2300000000005</v>
      </c>
    </row>
    <row r="15" spans="1:25" ht="46.5" x14ac:dyDescent="0.35">
      <c r="A15" s="1"/>
      <c r="B15" s="50" t="s">
        <v>41</v>
      </c>
      <c r="C15" s="51" t="s">
        <v>42</v>
      </c>
      <c r="D15" s="50" t="s">
        <v>43</v>
      </c>
      <c r="E15" s="47">
        <v>7989.28</v>
      </c>
      <c r="F15" s="52">
        <v>15</v>
      </c>
      <c r="G15" s="52">
        <v>743.19</v>
      </c>
      <c r="H15" s="47"/>
      <c r="I15" s="47"/>
      <c r="J15" s="67">
        <v>1.27</v>
      </c>
      <c r="K15" s="47"/>
      <c r="L15" s="47">
        <f t="shared" si="6"/>
        <v>8731.1999999999989</v>
      </c>
      <c r="M15" s="47">
        <v>0</v>
      </c>
      <c r="N15" s="47"/>
      <c r="O15" s="47">
        <v>1227.04</v>
      </c>
      <c r="P15" s="47">
        <v>-0.08</v>
      </c>
      <c r="Q15" s="55">
        <f t="shared" si="2"/>
        <v>918.77</v>
      </c>
      <c r="R15" s="55">
        <f t="shared" si="7"/>
        <v>85.47</v>
      </c>
      <c r="S15" s="47">
        <f t="shared" si="8"/>
        <v>2231.1999999999998</v>
      </c>
      <c r="T15" s="56">
        <f t="shared" si="3"/>
        <v>6499.9999999999991</v>
      </c>
      <c r="U15" s="57">
        <v>411.18</v>
      </c>
      <c r="V15" s="47">
        <f t="shared" si="4"/>
        <v>1637.8</v>
      </c>
      <c r="W15" s="58">
        <f t="shared" si="5"/>
        <v>159.79</v>
      </c>
      <c r="X15" s="58">
        <f t="shared" si="9"/>
        <v>14.86</v>
      </c>
      <c r="Y15" s="59">
        <f t="shared" si="10"/>
        <v>2223.63</v>
      </c>
    </row>
    <row r="16" spans="1:25" ht="48.75" x14ac:dyDescent="0.35">
      <c r="A16" s="1"/>
      <c r="B16" s="50" t="s">
        <v>44</v>
      </c>
      <c r="C16" s="51" t="s">
        <v>45</v>
      </c>
      <c r="D16" s="50" t="s">
        <v>46</v>
      </c>
      <c r="E16" s="47">
        <v>5278.78</v>
      </c>
      <c r="F16" s="52">
        <v>15</v>
      </c>
      <c r="G16" s="52">
        <v>491.05</v>
      </c>
      <c r="H16" s="54">
        <v>2558</v>
      </c>
      <c r="I16" s="47"/>
      <c r="J16" s="67"/>
      <c r="K16" s="47"/>
      <c r="L16" s="47">
        <f t="shared" si="6"/>
        <v>5769.83</v>
      </c>
      <c r="M16" s="47">
        <v>0</v>
      </c>
      <c r="N16" s="47"/>
      <c r="O16" s="47">
        <v>599.59</v>
      </c>
      <c r="P16" s="47">
        <v>-0.09</v>
      </c>
      <c r="Q16" s="55">
        <f t="shared" si="2"/>
        <v>607.05999999999995</v>
      </c>
      <c r="R16" s="55">
        <f t="shared" si="7"/>
        <v>56.47</v>
      </c>
      <c r="S16" s="47">
        <f t="shared" si="8"/>
        <v>3821.0299999999997</v>
      </c>
      <c r="T16" s="56">
        <f t="shared" si="3"/>
        <v>1948.8000000000002</v>
      </c>
      <c r="U16" s="57">
        <v>339.64</v>
      </c>
      <c r="V16" s="47">
        <f t="shared" si="4"/>
        <v>1082.1500000000001</v>
      </c>
      <c r="W16" s="58">
        <f t="shared" si="5"/>
        <v>105.58</v>
      </c>
      <c r="X16" s="58">
        <f t="shared" si="9"/>
        <v>9.82</v>
      </c>
      <c r="Y16" s="59">
        <f t="shared" si="10"/>
        <v>1537.1899999999998</v>
      </c>
    </row>
    <row r="17" spans="1:25" ht="48.75" x14ac:dyDescent="0.35">
      <c r="A17" s="1"/>
      <c r="B17" s="50" t="s">
        <v>47</v>
      </c>
      <c r="C17" s="51" t="s">
        <v>48</v>
      </c>
      <c r="D17" s="50" t="s">
        <v>49</v>
      </c>
      <c r="E17" s="47">
        <v>4677.54</v>
      </c>
      <c r="F17" s="52">
        <v>15</v>
      </c>
      <c r="G17" s="52">
        <v>425.45</v>
      </c>
      <c r="H17" s="54">
        <v>1551</v>
      </c>
      <c r="I17" s="47"/>
      <c r="J17" s="60"/>
      <c r="K17" s="47"/>
      <c r="L17" s="47">
        <f t="shared" si="6"/>
        <v>5102.99</v>
      </c>
      <c r="M17" s="47"/>
      <c r="N17" s="47"/>
      <c r="O17" s="47">
        <v>480.08</v>
      </c>
      <c r="P17" s="47">
        <v>0.06</v>
      </c>
      <c r="Q17" s="55">
        <f t="shared" si="2"/>
        <v>537.91999999999996</v>
      </c>
      <c r="R17" s="55">
        <f t="shared" si="7"/>
        <v>48.93</v>
      </c>
      <c r="S17" s="47">
        <f t="shared" si="8"/>
        <v>2617.9899999999998</v>
      </c>
      <c r="T17" s="56">
        <f t="shared" si="3"/>
        <v>2485</v>
      </c>
      <c r="U17" s="57">
        <v>323.77</v>
      </c>
      <c r="V17" s="47">
        <f t="shared" si="4"/>
        <v>958.90000000000009</v>
      </c>
      <c r="W17" s="58">
        <f t="shared" si="5"/>
        <v>93.55</v>
      </c>
      <c r="X17" s="58">
        <f t="shared" si="9"/>
        <v>8.51</v>
      </c>
      <c r="Y17" s="59">
        <f t="shared" si="10"/>
        <v>1384.73</v>
      </c>
    </row>
    <row r="18" spans="1:25" ht="48.75" x14ac:dyDescent="0.35">
      <c r="A18" s="1"/>
      <c r="B18" s="50" t="s">
        <v>50</v>
      </c>
      <c r="C18" s="51" t="s">
        <v>51</v>
      </c>
      <c r="D18" s="50" t="s">
        <v>52</v>
      </c>
      <c r="E18" s="47">
        <v>5278.78</v>
      </c>
      <c r="F18" s="52">
        <v>15</v>
      </c>
      <c r="G18" s="52">
        <v>491.05</v>
      </c>
      <c r="H18" s="69"/>
      <c r="I18" s="60"/>
      <c r="J18" s="67">
        <v>0.84</v>
      </c>
      <c r="K18" s="47"/>
      <c r="L18" s="47">
        <f t="shared" si="6"/>
        <v>5768.99</v>
      </c>
      <c r="M18" s="47"/>
      <c r="N18" s="47"/>
      <c r="O18" s="47">
        <v>599.59</v>
      </c>
      <c r="P18" s="47">
        <v>7.0000000000000007E-2</v>
      </c>
      <c r="Q18" s="55">
        <f t="shared" si="2"/>
        <v>607.05999999999995</v>
      </c>
      <c r="R18" s="55">
        <f t="shared" si="7"/>
        <v>56.47</v>
      </c>
      <c r="S18" s="47">
        <f t="shared" si="8"/>
        <v>1263.19</v>
      </c>
      <c r="T18" s="56">
        <f t="shared" si="3"/>
        <v>4505.7999999999993</v>
      </c>
      <c r="U18" s="57">
        <v>339.64</v>
      </c>
      <c r="V18" s="47">
        <f t="shared" si="4"/>
        <v>1082.1500000000001</v>
      </c>
      <c r="W18" s="58">
        <f t="shared" si="5"/>
        <v>105.58</v>
      </c>
      <c r="X18" s="58">
        <f t="shared" si="9"/>
        <v>9.82</v>
      </c>
      <c r="Y18" s="59">
        <f t="shared" si="10"/>
        <v>1537.1899999999998</v>
      </c>
    </row>
    <row r="19" spans="1:25" ht="48.75" x14ac:dyDescent="0.35">
      <c r="A19" s="1"/>
      <c r="B19" s="70" t="s">
        <v>53</v>
      </c>
      <c r="C19" s="51" t="s">
        <v>54</v>
      </c>
      <c r="D19" s="70" t="s">
        <v>55</v>
      </c>
      <c r="E19" s="47">
        <v>5278.78</v>
      </c>
      <c r="F19" s="52">
        <v>15</v>
      </c>
      <c r="G19" s="52">
        <v>491.05</v>
      </c>
      <c r="H19" s="47"/>
      <c r="I19" s="60"/>
      <c r="J19" s="67"/>
      <c r="K19" s="47"/>
      <c r="L19" s="47">
        <f t="shared" si="6"/>
        <v>5769.83</v>
      </c>
      <c r="M19" s="47"/>
      <c r="N19" s="47"/>
      <c r="O19" s="47">
        <v>599.59</v>
      </c>
      <c r="P19" s="47">
        <v>0.11</v>
      </c>
      <c r="Q19" s="55">
        <f t="shared" si="2"/>
        <v>607.05999999999995</v>
      </c>
      <c r="R19" s="55">
        <f t="shared" si="7"/>
        <v>56.47</v>
      </c>
      <c r="S19" s="47">
        <f t="shared" si="8"/>
        <v>1263.23</v>
      </c>
      <c r="T19" s="56">
        <f t="shared" si="3"/>
        <v>4506.6000000000004</v>
      </c>
      <c r="U19" s="57">
        <v>339.64</v>
      </c>
      <c r="V19" s="47">
        <f t="shared" si="4"/>
        <v>1082.1500000000001</v>
      </c>
      <c r="W19" s="58">
        <f t="shared" si="5"/>
        <v>105.58</v>
      </c>
      <c r="X19" s="58">
        <f t="shared" si="9"/>
        <v>9.82</v>
      </c>
      <c r="Y19" s="59">
        <f t="shared" si="10"/>
        <v>1537.1899999999998</v>
      </c>
    </row>
    <row r="20" spans="1:25" ht="48.75" x14ac:dyDescent="0.35">
      <c r="A20" s="1"/>
      <c r="B20" s="70" t="s">
        <v>56</v>
      </c>
      <c r="C20" s="51" t="s">
        <v>57</v>
      </c>
      <c r="D20" s="70" t="s">
        <v>49</v>
      </c>
      <c r="E20" s="47">
        <v>4677.54</v>
      </c>
      <c r="F20" s="52">
        <v>15</v>
      </c>
      <c r="G20" s="52">
        <v>435.12</v>
      </c>
      <c r="H20" s="47"/>
      <c r="I20" s="47"/>
      <c r="J20" s="60"/>
      <c r="K20" s="47"/>
      <c r="L20" s="47">
        <f t="shared" si="6"/>
        <v>5112.66</v>
      </c>
      <c r="M20" s="47"/>
      <c r="N20" s="47"/>
      <c r="O20" s="47">
        <v>481.81</v>
      </c>
      <c r="P20" s="47">
        <v>0.09</v>
      </c>
      <c r="Q20" s="55">
        <f t="shared" si="2"/>
        <v>537.91999999999996</v>
      </c>
      <c r="R20" s="55">
        <f t="shared" si="7"/>
        <v>50.04</v>
      </c>
      <c r="S20" s="47">
        <f t="shared" si="8"/>
        <v>1069.8599999999999</v>
      </c>
      <c r="T20" s="56">
        <f t="shared" si="3"/>
        <v>4042.8</v>
      </c>
      <c r="U20" s="57">
        <v>323.77</v>
      </c>
      <c r="V20" s="47">
        <f t="shared" si="4"/>
        <v>958.90000000000009</v>
      </c>
      <c r="W20" s="58">
        <f t="shared" si="5"/>
        <v>93.55</v>
      </c>
      <c r="X20" s="58">
        <f t="shared" si="9"/>
        <v>8.6999999999999993</v>
      </c>
      <c r="Y20" s="59">
        <f t="shared" si="10"/>
        <v>1384.92</v>
      </c>
    </row>
    <row r="21" spans="1:25" ht="48.75" x14ac:dyDescent="0.35">
      <c r="A21" s="1"/>
      <c r="B21" s="70" t="s">
        <v>58</v>
      </c>
      <c r="C21" s="51" t="s">
        <v>59</v>
      </c>
      <c r="D21" s="70" t="s">
        <v>60</v>
      </c>
      <c r="E21" s="47">
        <v>5278.78</v>
      </c>
      <c r="F21" s="52">
        <v>15</v>
      </c>
      <c r="G21" s="52">
        <v>491.05</v>
      </c>
      <c r="H21" s="47"/>
      <c r="I21" s="47"/>
      <c r="J21" s="60"/>
      <c r="K21" s="47"/>
      <c r="L21" s="47">
        <f t="shared" si="6"/>
        <v>5769.83</v>
      </c>
      <c r="M21" s="47"/>
      <c r="N21" s="47"/>
      <c r="O21" s="47">
        <v>599.62</v>
      </c>
      <c r="P21" s="47">
        <v>-0.12</v>
      </c>
      <c r="Q21" s="55">
        <f t="shared" si="2"/>
        <v>607.05999999999995</v>
      </c>
      <c r="R21" s="55">
        <f t="shared" si="7"/>
        <v>56.47</v>
      </c>
      <c r="S21" s="47">
        <f t="shared" si="8"/>
        <v>1263.03</v>
      </c>
      <c r="T21" s="56">
        <f t="shared" si="3"/>
        <v>4506.8</v>
      </c>
      <c r="U21" s="57">
        <v>339.64</v>
      </c>
      <c r="V21" s="47">
        <f t="shared" si="4"/>
        <v>1082.1500000000001</v>
      </c>
      <c r="W21" s="58">
        <f t="shared" si="5"/>
        <v>105.58</v>
      </c>
      <c r="X21" s="58">
        <f t="shared" si="9"/>
        <v>9.82</v>
      </c>
      <c r="Y21" s="59">
        <f t="shared" si="10"/>
        <v>1537.1899999999998</v>
      </c>
    </row>
    <row r="22" spans="1:25" ht="24" x14ac:dyDescent="0.3">
      <c r="A22" s="1"/>
      <c r="B22" s="66" t="s">
        <v>29</v>
      </c>
      <c r="C22" s="62"/>
      <c r="D22" s="63"/>
      <c r="E22" s="64">
        <f>SUM(E12:E21)</f>
        <v>67007.12</v>
      </c>
      <c r="F22" s="64"/>
      <c r="G22" s="64">
        <f>SUM(G12:G21)</f>
        <v>4965.880000000001</v>
      </c>
      <c r="H22" s="64">
        <f>+H19+H17+H16+H12+H13+H14+H18</f>
        <v>6644</v>
      </c>
      <c r="I22" s="64"/>
      <c r="J22" s="64">
        <f>SUM(J12:J19)</f>
        <v>12.84</v>
      </c>
      <c r="K22" s="64">
        <f>SUM(K12:K19)</f>
        <v>0</v>
      </c>
      <c r="L22" s="64">
        <f>SUM(L12:N21)</f>
        <v>71960.160000000003</v>
      </c>
      <c r="M22" s="64">
        <f>SUM(M12:O21)</f>
        <v>9102.93</v>
      </c>
      <c r="N22" s="64">
        <f>SUM(N12:P21)</f>
        <v>9102.85</v>
      </c>
      <c r="O22" s="64">
        <f t="shared" ref="O22:W22" si="11">SUM(O12:O21)</f>
        <v>9102.93</v>
      </c>
      <c r="P22" s="64">
        <f t="shared" si="11"/>
        <v>-8.0000000000000029E-2</v>
      </c>
      <c r="Q22" s="64">
        <f t="shared" si="11"/>
        <v>7705.8299999999981</v>
      </c>
      <c r="R22" s="64">
        <f t="shared" si="11"/>
        <v>571.08000000000004</v>
      </c>
      <c r="S22" s="64">
        <f t="shared" si="11"/>
        <v>24023.759999999995</v>
      </c>
      <c r="T22" s="64">
        <f t="shared" si="11"/>
        <v>47936.4</v>
      </c>
      <c r="U22" s="64">
        <f t="shared" si="11"/>
        <v>3769.7299999999996</v>
      </c>
      <c r="V22" s="64">
        <f t="shared" si="11"/>
        <v>13736.46</v>
      </c>
      <c r="W22" s="64">
        <f t="shared" si="11"/>
        <v>1340.1699999999996</v>
      </c>
      <c r="X22" s="64">
        <f>SUM(X12:X21)</f>
        <v>99.31</v>
      </c>
      <c r="Y22" s="64">
        <f>SUM(Y12:Y21)</f>
        <v>18945.670000000002</v>
      </c>
    </row>
    <row r="23" spans="1:25" ht="18.75" x14ac:dyDescent="0.3">
      <c r="A23" s="1"/>
      <c r="B23" s="66"/>
      <c r="C23" s="51"/>
      <c r="D23" s="5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65"/>
      <c r="U23" s="49"/>
      <c r="V23" s="49"/>
      <c r="W23" s="49"/>
      <c r="X23" s="49"/>
      <c r="Y23" s="49"/>
    </row>
    <row r="24" spans="1:25" ht="48" x14ac:dyDescent="0.3">
      <c r="A24" s="1"/>
      <c r="B24" s="66" t="s">
        <v>61</v>
      </c>
      <c r="C24" s="62" t="s">
        <v>62</v>
      </c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5"/>
      <c r="U24" s="49"/>
      <c r="V24" s="49"/>
      <c r="W24" s="49"/>
      <c r="X24" s="49"/>
      <c r="Y24" s="49"/>
    </row>
    <row r="25" spans="1:25" ht="33" x14ac:dyDescent="0.35">
      <c r="A25" s="1"/>
      <c r="B25" s="50" t="s">
        <v>63</v>
      </c>
      <c r="C25" s="51" t="s">
        <v>64</v>
      </c>
      <c r="D25" s="70" t="s">
        <v>65</v>
      </c>
      <c r="E25" s="47">
        <v>7513.82</v>
      </c>
      <c r="F25" s="52">
        <v>15</v>
      </c>
      <c r="G25" s="52">
        <v>698.96</v>
      </c>
      <c r="H25" s="47"/>
      <c r="I25" s="47"/>
      <c r="J25" s="60"/>
      <c r="K25" s="47"/>
      <c r="L25" s="47">
        <f>E25+-J25+G25</f>
        <v>8212.7799999999988</v>
      </c>
      <c r="M25" s="47">
        <v>0</v>
      </c>
      <c r="N25" s="47"/>
      <c r="O25" s="47">
        <v>1116.03</v>
      </c>
      <c r="P25" s="47">
        <v>-0.12</v>
      </c>
      <c r="Q25" s="55">
        <f>ROUND(E25*0.115,2)</f>
        <v>864.09</v>
      </c>
      <c r="R25" s="55">
        <f>ROUND(G25*0.115,2)</f>
        <v>80.38</v>
      </c>
      <c r="S25" s="47">
        <f t="shared" ref="S25:S28" si="12">SUM(O25:R25)+H25</f>
        <v>2060.38</v>
      </c>
      <c r="T25" s="56">
        <f>L25-S25</f>
        <v>6152.3999999999987</v>
      </c>
      <c r="U25" s="71">
        <v>398.64</v>
      </c>
      <c r="V25" s="47">
        <f>ROUND(+E25*17.5%,2)+ROUND(E25*3%,2)</f>
        <v>1540.3300000000002</v>
      </c>
      <c r="W25" s="58">
        <f>ROUND(+E25*2%,2)</f>
        <v>150.28</v>
      </c>
      <c r="X25" s="58">
        <f t="shared" ref="X25:X28" si="13">ROUND(+G25*2%,2)</f>
        <v>13.98</v>
      </c>
      <c r="Y25" s="59">
        <f t="shared" ref="Y25:Y28" si="14">SUM(U25:X25)</f>
        <v>2103.2300000000005</v>
      </c>
    </row>
    <row r="26" spans="1:25" ht="48.75" x14ac:dyDescent="0.35">
      <c r="A26" s="1"/>
      <c r="B26" s="50" t="s">
        <v>66</v>
      </c>
      <c r="C26" s="51" t="s">
        <v>67</v>
      </c>
      <c r="D26" s="70" t="s">
        <v>68</v>
      </c>
      <c r="E26" s="47">
        <v>7513.82</v>
      </c>
      <c r="F26" s="52">
        <v>15</v>
      </c>
      <c r="G26" s="52">
        <v>698.96</v>
      </c>
      <c r="H26" s="47"/>
      <c r="I26" s="47"/>
      <c r="J26" s="67">
        <v>1.19</v>
      </c>
      <c r="K26" s="47"/>
      <c r="L26" s="47">
        <f t="shared" ref="L26:L28" si="15">E26+-J26+G26</f>
        <v>8211.59</v>
      </c>
      <c r="M26" s="47">
        <v>0</v>
      </c>
      <c r="N26" s="47"/>
      <c r="O26" s="47">
        <v>1116.03</v>
      </c>
      <c r="P26" s="47">
        <v>-0.11</v>
      </c>
      <c r="Q26" s="55">
        <f>ROUND(E26*0.115,2)</f>
        <v>864.09</v>
      </c>
      <c r="R26" s="55">
        <f t="shared" ref="R26:R27" si="16">ROUND(G26*0.115,2)</f>
        <v>80.38</v>
      </c>
      <c r="S26" s="47">
        <f t="shared" si="12"/>
        <v>2060.3900000000003</v>
      </c>
      <c r="T26" s="56">
        <f>L26-S26</f>
        <v>6151.2</v>
      </c>
      <c r="U26" s="71">
        <v>398.64</v>
      </c>
      <c r="V26" s="47">
        <f>ROUND(+E26*17.5%,2)+ROUND(E26*3%,2)</f>
        <v>1540.3300000000002</v>
      </c>
      <c r="W26" s="58">
        <f>ROUND(+E26*2%,2)</f>
        <v>150.28</v>
      </c>
      <c r="X26" s="58">
        <f t="shared" si="13"/>
        <v>13.98</v>
      </c>
      <c r="Y26" s="59">
        <f t="shared" si="14"/>
        <v>2103.2300000000005</v>
      </c>
    </row>
    <row r="27" spans="1:25" ht="48.75" x14ac:dyDescent="0.35">
      <c r="A27" s="1"/>
      <c r="B27" s="50" t="s">
        <v>69</v>
      </c>
      <c r="C27" s="51" t="s">
        <v>70</v>
      </c>
      <c r="D27" s="50" t="s">
        <v>71</v>
      </c>
      <c r="E27" s="47">
        <v>7513.82</v>
      </c>
      <c r="F27" s="52">
        <v>15</v>
      </c>
      <c r="G27" s="52">
        <v>698.96</v>
      </c>
      <c r="H27" s="47"/>
      <c r="I27" s="47"/>
      <c r="J27" s="60">
        <v>3.58</v>
      </c>
      <c r="K27" s="47"/>
      <c r="L27" s="47">
        <f t="shared" si="15"/>
        <v>8209.2000000000007</v>
      </c>
      <c r="M27" s="47">
        <v>0</v>
      </c>
      <c r="N27" s="47"/>
      <c r="O27" s="47">
        <v>1116.03</v>
      </c>
      <c r="P27" s="47">
        <v>0.1</v>
      </c>
      <c r="Q27" s="55">
        <f>ROUND(E27*0.115,2)</f>
        <v>864.09</v>
      </c>
      <c r="R27" s="55">
        <f t="shared" si="16"/>
        <v>80.38</v>
      </c>
      <c r="S27" s="47">
        <f t="shared" si="12"/>
        <v>2060.6</v>
      </c>
      <c r="T27" s="56">
        <f>L27-S27</f>
        <v>6148.6</v>
      </c>
      <c r="U27" s="71">
        <v>398.64</v>
      </c>
      <c r="V27" s="47">
        <f>ROUND(+E27*17.5%,2)+ROUND(E27*3%,2)</f>
        <v>1540.3300000000002</v>
      </c>
      <c r="W27" s="58">
        <f>ROUND(+E27*2%,2)</f>
        <v>150.28</v>
      </c>
      <c r="X27" s="58">
        <f t="shared" si="13"/>
        <v>13.98</v>
      </c>
      <c r="Y27" s="59">
        <f t="shared" si="14"/>
        <v>2103.2300000000005</v>
      </c>
    </row>
    <row r="28" spans="1:25" ht="64.5" x14ac:dyDescent="0.35">
      <c r="A28" s="1"/>
      <c r="B28" s="70" t="s">
        <v>72</v>
      </c>
      <c r="C28" s="51" t="s">
        <v>73</v>
      </c>
      <c r="D28" s="70" t="s">
        <v>68</v>
      </c>
      <c r="E28" s="47">
        <v>7513.82</v>
      </c>
      <c r="F28" s="52">
        <v>15</v>
      </c>
      <c r="G28" s="52">
        <v>698.96</v>
      </c>
      <c r="H28" s="47"/>
      <c r="I28" s="60"/>
      <c r="J28" s="60"/>
      <c r="K28" s="47"/>
      <c r="L28" s="47">
        <f t="shared" si="15"/>
        <v>8212.7799999999988</v>
      </c>
      <c r="M28" s="47"/>
      <c r="N28" s="47"/>
      <c r="O28" s="47">
        <v>1116.03</v>
      </c>
      <c r="P28" s="47">
        <v>0.08</v>
      </c>
      <c r="Q28" s="55">
        <f>ROUND(E28*0.115,2)</f>
        <v>864.09</v>
      </c>
      <c r="R28" s="55">
        <f>ROUND(G28*0.115,2)</f>
        <v>80.38</v>
      </c>
      <c r="S28" s="47">
        <f t="shared" si="12"/>
        <v>2060.58</v>
      </c>
      <c r="T28" s="56">
        <f>L28-S28</f>
        <v>6152.1999999999989</v>
      </c>
      <c r="U28" s="71">
        <v>398.64</v>
      </c>
      <c r="V28" s="47">
        <f>ROUND(+E28*17.5%,2)+ROUND(E28*3%,2)</f>
        <v>1540.3300000000002</v>
      </c>
      <c r="W28" s="58">
        <f>ROUND(+E28*2%,2)</f>
        <v>150.28</v>
      </c>
      <c r="X28" s="58">
        <f t="shared" si="13"/>
        <v>13.98</v>
      </c>
      <c r="Y28" s="59">
        <f t="shared" si="14"/>
        <v>2103.2300000000005</v>
      </c>
    </row>
    <row r="29" spans="1:25" ht="24" x14ac:dyDescent="0.3">
      <c r="A29" s="1"/>
      <c r="B29" s="66" t="s">
        <v>29</v>
      </c>
      <c r="C29" s="62"/>
      <c r="D29" s="63"/>
      <c r="E29" s="64">
        <f>SUM(E25:E28)</f>
        <v>30055.279999999999</v>
      </c>
      <c r="F29" s="64"/>
      <c r="G29" s="64">
        <f>SUM(G25:G28)</f>
        <v>2795.84</v>
      </c>
      <c r="H29" s="64">
        <f>+H28+H27+H25+H26</f>
        <v>0</v>
      </c>
      <c r="I29" s="64"/>
      <c r="J29" s="64">
        <f>SUM(J25:J28)</f>
        <v>4.7699999999999996</v>
      </c>
      <c r="K29" s="64">
        <f>SUM(K25:K27)</f>
        <v>0</v>
      </c>
      <c r="L29" s="64">
        <f>SUM(L25:L28)</f>
        <v>32846.35</v>
      </c>
      <c r="M29" s="64">
        <f>SUM(M25:M27)</f>
        <v>0</v>
      </c>
      <c r="N29" s="64">
        <f>SUM(N25:N27)</f>
        <v>0</v>
      </c>
      <c r="O29" s="64">
        <f>SUM(O25:O28)</f>
        <v>4464.12</v>
      </c>
      <c r="P29" s="64">
        <f>SUM(P25:P28)</f>
        <v>-4.9999999999999975E-2</v>
      </c>
      <c r="Q29" s="64">
        <f>SUM(Q25:Q28)</f>
        <v>3456.36</v>
      </c>
      <c r="R29" s="64">
        <f>SUM(R25:R28)</f>
        <v>321.52</v>
      </c>
      <c r="S29" s="64">
        <f t="shared" ref="S29:Y29" si="17">SUM(S25:S28)</f>
        <v>8241.9500000000007</v>
      </c>
      <c r="T29" s="64">
        <f t="shared" si="17"/>
        <v>24604.399999999994</v>
      </c>
      <c r="U29" s="64">
        <f t="shared" si="17"/>
        <v>1594.56</v>
      </c>
      <c r="V29" s="64">
        <f t="shared" si="17"/>
        <v>6161.3200000000006</v>
      </c>
      <c r="W29" s="64">
        <f t="shared" si="17"/>
        <v>601.12</v>
      </c>
      <c r="X29" s="64">
        <f>SUM(X25:X28)</f>
        <v>55.92</v>
      </c>
      <c r="Y29" s="64">
        <f t="shared" si="17"/>
        <v>8412.9200000000019</v>
      </c>
    </row>
    <row r="30" spans="1:25" ht="18.75" x14ac:dyDescent="0.3">
      <c r="A30" s="1"/>
      <c r="B30" s="50"/>
      <c r="C30" s="51"/>
      <c r="D30" s="5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65"/>
      <c r="U30" s="49"/>
      <c r="V30" s="49"/>
      <c r="W30" s="49"/>
      <c r="X30" s="49"/>
      <c r="Y30" s="49"/>
    </row>
    <row r="31" spans="1:25" ht="48" x14ac:dyDescent="0.3">
      <c r="A31" s="1"/>
      <c r="B31" s="66" t="s">
        <v>74</v>
      </c>
      <c r="C31" s="62" t="s">
        <v>75</v>
      </c>
      <c r="D31" s="50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65"/>
      <c r="U31" s="49"/>
      <c r="V31" s="49"/>
      <c r="W31" s="49"/>
      <c r="X31" s="49"/>
      <c r="Y31" s="49"/>
    </row>
    <row r="32" spans="1:25" ht="30.75" x14ac:dyDescent="0.35">
      <c r="A32" s="1"/>
      <c r="B32" s="50" t="s">
        <v>76</v>
      </c>
      <c r="C32" s="51"/>
      <c r="D32" s="70" t="s">
        <v>77</v>
      </c>
      <c r="E32" s="47"/>
      <c r="F32" s="52"/>
      <c r="G32" s="52"/>
      <c r="H32" s="47"/>
      <c r="I32" s="47"/>
      <c r="J32" s="60"/>
      <c r="K32" s="47"/>
      <c r="L32" s="47"/>
      <c r="M32" s="47"/>
      <c r="N32" s="47"/>
      <c r="O32" s="47"/>
      <c r="P32" s="47"/>
      <c r="Q32" s="72"/>
      <c r="R32" s="72"/>
      <c r="S32" s="47"/>
      <c r="T32" s="73"/>
      <c r="U32" s="71"/>
      <c r="V32" s="71"/>
      <c r="W32" s="58"/>
      <c r="X32" s="58"/>
      <c r="Y32" s="59"/>
    </row>
    <row r="33" spans="1:25" ht="48.75" x14ac:dyDescent="0.35">
      <c r="A33" s="1"/>
      <c r="B33" s="70" t="s">
        <v>76</v>
      </c>
      <c r="C33" s="51" t="s">
        <v>78</v>
      </c>
      <c r="D33" s="70" t="s">
        <v>79</v>
      </c>
      <c r="E33" s="47">
        <v>7513.82</v>
      </c>
      <c r="F33" s="52">
        <v>15</v>
      </c>
      <c r="G33" s="52">
        <v>698.96</v>
      </c>
      <c r="H33" s="47"/>
      <c r="I33" s="47"/>
      <c r="J33" s="60">
        <v>3.58</v>
      </c>
      <c r="K33" s="47"/>
      <c r="L33" s="47">
        <f>E33+-J33+G33</f>
        <v>8209.2000000000007</v>
      </c>
      <c r="M33" s="47"/>
      <c r="N33" s="47"/>
      <c r="O33" s="47">
        <v>1116.03</v>
      </c>
      <c r="P33" s="47">
        <v>-0.1</v>
      </c>
      <c r="Q33" s="72">
        <f t="shared" ref="Q33:Q41" si="18">ROUND(E33*0.115,2)</f>
        <v>864.09</v>
      </c>
      <c r="R33" s="55">
        <f>ROUND(G33*0.115,2)</f>
        <v>80.38</v>
      </c>
      <c r="S33" s="47">
        <f t="shared" ref="S33:S49" si="19">SUM(O33:R33)+H33</f>
        <v>2060.4</v>
      </c>
      <c r="T33" s="56">
        <f t="shared" ref="T33:T49" si="20">L33-S33</f>
        <v>6148.8000000000011</v>
      </c>
      <c r="U33" s="71">
        <v>396.64</v>
      </c>
      <c r="V33" s="47">
        <f t="shared" ref="V33:V41" si="21">ROUND(+E33*17.5%,2)+ROUND(E33*3%,2)</f>
        <v>1540.3300000000002</v>
      </c>
      <c r="W33" s="58">
        <f t="shared" ref="W33:W41" si="22">ROUND(+E33*2%,2)</f>
        <v>150.28</v>
      </c>
      <c r="X33" s="58">
        <f t="shared" ref="X33:X49" si="23">ROUND(+G33*2%,2)</f>
        <v>13.98</v>
      </c>
      <c r="Y33" s="59">
        <f t="shared" ref="Y33:Y49" si="24">SUM(U33:X33)</f>
        <v>2101.2300000000005</v>
      </c>
    </row>
    <row r="34" spans="1:25" ht="64.5" x14ac:dyDescent="0.35">
      <c r="A34" s="1"/>
      <c r="B34" s="70" t="s">
        <v>80</v>
      </c>
      <c r="C34" s="51" t="s">
        <v>81</v>
      </c>
      <c r="D34" s="70" t="s">
        <v>79</v>
      </c>
      <c r="E34" s="47">
        <v>7513.82</v>
      </c>
      <c r="F34" s="52">
        <v>15</v>
      </c>
      <c r="G34" s="52">
        <v>698.96</v>
      </c>
      <c r="H34" s="69"/>
      <c r="I34" s="47"/>
      <c r="J34" s="60"/>
      <c r="K34" s="47"/>
      <c r="L34" s="47">
        <f t="shared" ref="L34:L49" si="25">E34+-J34+G34</f>
        <v>8212.7799999999988</v>
      </c>
      <c r="M34" s="47"/>
      <c r="N34" s="47"/>
      <c r="O34" s="47">
        <v>1116.03</v>
      </c>
      <c r="P34" s="47">
        <v>0.08</v>
      </c>
      <c r="Q34" s="72">
        <f t="shared" si="18"/>
        <v>864.09</v>
      </c>
      <c r="R34" s="55">
        <f t="shared" ref="R34:R49" si="26">ROUND(G34*0.115,2)</f>
        <v>80.38</v>
      </c>
      <c r="S34" s="47">
        <f t="shared" si="19"/>
        <v>2060.58</v>
      </c>
      <c r="T34" s="56">
        <f t="shared" si="20"/>
        <v>6152.1999999999989</v>
      </c>
      <c r="U34" s="71">
        <v>396.64</v>
      </c>
      <c r="V34" s="47">
        <f t="shared" si="21"/>
        <v>1540.3300000000002</v>
      </c>
      <c r="W34" s="58">
        <f t="shared" si="22"/>
        <v>150.28</v>
      </c>
      <c r="X34" s="58">
        <f t="shared" si="23"/>
        <v>13.98</v>
      </c>
      <c r="Y34" s="59">
        <f t="shared" si="24"/>
        <v>2101.2300000000005</v>
      </c>
    </row>
    <row r="35" spans="1:25" ht="64.5" x14ac:dyDescent="0.35">
      <c r="A35" s="1"/>
      <c r="B35" s="50" t="s">
        <v>82</v>
      </c>
      <c r="C35" s="51" t="s">
        <v>83</v>
      </c>
      <c r="D35" s="50" t="s">
        <v>84</v>
      </c>
      <c r="E35" s="47">
        <v>7989.28</v>
      </c>
      <c r="F35" s="52">
        <v>15</v>
      </c>
      <c r="G35" s="52">
        <v>743.19</v>
      </c>
      <c r="H35" s="47"/>
      <c r="I35" s="47"/>
      <c r="J35" s="60">
        <v>21.56</v>
      </c>
      <c r="K35" s="47"/>
      <c r="L35" s="47">
        <f t="shared" si="25"/>
        <v>8710.91</v>
      </c>
      <c r="M35" s="47">
        <v>0</v>
      </c>
      <c r="N35" s="47"/>
      <c r="O35" s="47">
        <v>1227.04</v>
      </c>
      <c r="P35" s="47">
        <v>0.03</v>
      </c>
      <c r="Q35" s="72">
        <f t="shared" si="18"/>
        <v>918.77</v>
      </c>
      <c r="R35" s="55">
        <f t="shared" si="26"/>
        <v>85.47</v>
      </c>
      <c r="S35" s="47">
        <f t="shared" si="19"/>
        <v>2231.31</v>
      </c>
      <c r="T35" s="56">
        <f t="shared" si="20"/>
        <v>6479.6</v>
      </c>
      <c r="U35" s="71">
        <v>411.18</v>
      </c>
      <c r="V35" s="47">
        <f t="shared" si="21"/>
        <v>1637.8</v>
      </c>
      <c r="W35" s="58">
        <f t="shared" si="22"/>
        <v>159.79</v>
      </c>
      <c r="X35" s="58">
        <f t="shared" si="23"/>
        <v>14.86</v>
      </c>
      <c r="Y35" s="59">
        <f t="shared" si="24"/>
        <v>2223.63</v>
      </c>
    </row>
    <row r="36" spans="1:25" ht="48.75" x14ac:dyDescent="0.35">
      <c r="A36" s="1"/>
      <c r="B36" s="50" t="s">
        <v>85</v>
      </c>
      <c r="C36" s="51" t="s">
        <v>86</v>
      </c>
      <c r="D36" s="50" t="s">
        <v>87</v>
      </c>
      <c r="E36" s="47">
        <v>7513.82</v>
      </c>
      <c r="F36" s="52">
        <v>15</v>
      </c>
      <c r="G36" s="52">
        <v>698.96</v>
      </c>
      <c r="H36" s="54">
        <v>1387</v>
      </c>
      <c r="I36" s="47"/>
      <c r="J36" s="60"/>
      <c r="K36" s="47"/>
      <c r="L36" s="47">
        <f t="shared" si="25"/>
        <v>8212.7799999999988</v>
      </c>
      <c r="M36" s="47">
        <v>0</v>
      </c>
      <c r="N36" s="47"/>
      <c r="O36" s="47">
        <v>1116.03</v>
      </c>
      <c r="P36" s="47">
        <v>-0.12</v>
      </c>
      <c r="Q36" s="72">
        <f t="shared" si="18"/>
        <v>864.09</v>
      </c>
      <c r="R36" s="55">
        <f t="shared" si="26"/>
        <v>80.38</v>
      </c>
      <c r="S36" s="47">
        <f t="shared" si="19"/>
        <v>3447.38</v>
      </c>
      <c r="T36" s="56">
        <f t="shared" si="20"/>
        <v>4765.3999999999987</v>
      </c>
      <c r="U36" s="71">
        <v>398.64</v>
      </c>
      <c r="V36" s="47">
        <f t="shared" si="21"/>
        <v>1540.3300000000002</v>
      </c>
      <c r="W36" s="58">
        <f t="shared" si="22"/>
        <v>150.28</v>
      </c>
      <c r="X36" s="58">
        <f t="shared" si="23"/>
        <v>13.98</v>
      </c>
      <c r="Y36" s="59">
        <f t="shared" si="24"/>
        <v>2103.2300000000005</v>
      </c>
    </row>
    <row r="37" spans="1:25" ht="64.5" x14ac:dyDescent="0.35">
      <c r="A37" s="1"/>
      <c r="B37" s="50" t="s">
        <v>88</v>
      </c>
      <c r="C37" s="51" t="s">
        <v>89</v>
      </c>
      <c r="D37" s="50" t="s">
        <v>90</v>
      </c>
      <c r="E37" s="47">
        <v>7513.82</v>
      </c>
      <c r="F37" s="52">
        <v>15</v>
      </c>
      <c r="G37" s="52">
        <v>698.96</v>
      </c>
      <c r="H37" s="54">
        <v>1556</v>
      </c>
      <c r="I37" s="47"/>
      <c r="J37" s="67">
        <v>46.51</v>
      </c>
      <c r="K37" s="47"/>
      <c r="L37" s="47">
        <f t="shared" si="25"/>
        <v>8166.2699999999995</v>
      </c>
      <c r="M37" s="47">
        <v>0</v>
      </c>
      <c r="N37" s="47"/>
      <c r="O37" s="47">
        <v>1116.03</v>
      </c>
      <c r="P37" s="47">
        <v>-0.03</v>
      </c>
      <c r="Q37" s="72">
        <f t="shared" si="18"/>
        <v>864.09</v>
      </c>
      <c r="R37" s="55">
        <f t="shared" si="26"/>
        <v>80.38</v>
      </c>
      <c r="S37" s="47">
        <f t="shared" si="19"/>
        <v>3616.4700000000003</v>
      </c>
      <c r="T37" s="56">
        <f t="shared" si="20"/>
        <v>4549.7999999999993</v>
      </c>
      <c r="U37" s="71">
        <v>398.64</v>
      </c>
      <c r="V37" s="47">
        <f t="shared" si="21"/>
        <v>1540.3300000000002</v>
      </c>
      <c r="W37" s="58">
        <f t="shared" si="22"/>
        <v>150.28</v>
      </c>
      <c r="X37" s="58">
        <f t="shared" si="23"/>
        <v>13.98</v>
      </c>
      <c r="Y37" s="59">
        <f t="shared" si="24"/>
        <v>2103.2300000000005</v>
      </c>
    </row>
    <row r="38" spans="1:25" ht="33" x14ac:dyDescent="0.35">
      <c r="A38" s="1"/>
      <c r="B38" s="50" t="s">
        <v>91</v>
      </c>
      <c r="C38" s="51" t="s">
        <v>92</v>
      </c>
      <c r="D38" s="50" t="s">
        <v>90</v>
      </c>
      <c r="E38" s="47"/>
      <c r="F38" s="52"/>
      <c r="G38" s="52"/>
      <c r="H38" s="54"/>
      <c r="I38" s="47"/>
      <c r="J38" s="60"/>
      <c r="K38" s="47"/>
      <c r="L38" s="47">
        <f t="shared" si="25"/>
        <v>0</v>
      </c>
      <c r="M38" s="47">
        <v>0</v>
      </c>
      <c r="N38" s="47"/>
      <c r="O38" s="47"/>
      <c r="P38" s="47"/>
      <c r="Q38" s="72">
        <f t="shared" si="18"/>
        <v>0</v>
      </c>
      <c r="R38" s="55">
        <f t="shared" si="26"/>
        <v>0</v>
      </c>
      <c r="S38" s="47">
        <f t="shared" si="19"/>
        <v>0</v>
      </c>
      <c r="T38" s="56">
        <f t="shared" si="20"/>
        <v>0</v>
      </c>
      <c r="U38" s="71">
        <v>398.64</v>
      </c>
      <c r="V38" s="47">
        <f t="shared" si="21"/>
        <v>0</v>
      </c>
      <c r="W38" s="58">
        <f t="shared" si="22"/>
        <v>0</v>
      </c>
      <c r="X38" s="58">
        <f t="shared" si="23"/>
        <v>0</v>
      </c>
      <c r="Y38" s="59">
        <f t="shared" si="24"/>
        <v>398.64</v>
      </c>
    </row>
    <row r="39" spans="1:25" ht="33" x14ac:dyDescent="0.35">
      <c r="A39" s="1"/>
      <c r="B39" s="50" t="s">
        <v>93</v>
      </c>
      <c r="C39" s="51" t="s">
        <v>94</v>
      </c>
      <c r="D39" s="50" t="s">
        <v>90</v>
      </c>
      <c r="E39" s="47">
        <v>7513.82</v>
      </c>
      <c r="F39" s="52">
        <v>15</v>
      </c>
      <c r="G39" s="52">
        <v>698.96</v>
      </c>
      <c r="H39" s="47"/>
      <c r="I39" s="47"/>
      <c r="J39" s="67"/>
      <c r="K39" s="47"/>
      <c r="L39" s="47">
        <f t="shared" si="25"/>
        <v>8212.7799999999988</v>
      </c>
      <c r="M39" s="47">
        <v>0</v>
      </c>
      <c r="N39" s="47"/>
      <c r="O39" s="47">
        <v>1116.03</v>
      </c>
      <c r="P39" s="47">
        <v>0.08</v>
      </c>
      <c r="Q39" s="72">
        <f t="shared" si="18"/>
        <v>864.09</v>
      </c>
      <c r="R39" s="55">
        <f t="shared" si="26"/>
        <v>80.38</v>
      </c>
      <c r="S39" s="47">
        <f t="shared" si="19"/>
        <v>2060.58</v>
      </c>
      <c r="T39" s="56">
        <f t="shared" si="20"/>
        <v>6152.1999999999989</v>
      </c>
      <c r="U39" s="71">
        <v>398.64</v>
      </c>
      <c r="V39" s="47">
        <f t="shared" si="21"/>
        <v>1540.3300000000002</v>
      </c>
      <c r="W39" s="58">
        <f t="shared" si="22"/>
        <v>150.28</v>
      </c>
      <c r="X39" s="58">
        <f t="shared" si="23"/>
        <v>13.98</v>
      </c>
      <c r="Y39" s="59">
        <f t="shared" si="24"/>
        <v>2103.2300000000005</v>
      </c>
    </row>
    <row r="40" spans="1:25" ht="48.75" x14ac:dyDescent="0.35">
      <c r="A40" s="1"/>
      <c r="B40" s="70" t="s">
        <v>95</v>
      </c>
      <c r="C40" s="51" t="s">
        <v>96</v>
      </c>
      <c r="D40" s="70" t="s">
        <v>97</v>
      </c>
      <c r="E40" s="47">
        <v>7513.82</v>
      </c>
      <c r="F40" s="52">
        <v>15</v>
      </c>
      <c r="G40" s="52">
        <v>698.96</v>
      </c>
      <c r="H40" s="47"/>
      <c r="I40" s="47"/>
      <c r="J40" s="67"/>
      <c r="K40" s="47"/>
      <c r="L40" s="47">
        <f t="shared" si="25"/>
        <v>8212.7799999999988</v>
      </c>
      <c r="M40" s="47">
        <v>0</v>
      </c>
      <c r="N40" s="47"/>
      <c r="O40" s="47">
        <v>1116.03</v>
      </c>
      <c r="P40" s="47">
        <v>0.08</v>
      </c>
      <c r="Q40" s="72">
        <f t="shared" si="18"/>
        <v>864.09</v>
      </c>
      <c r="R40" s="55">
        <f t="shared" si="26"/>
        <v>80.38</v>
      </c>
      <c r="S40" s="47">
        <f t="shared" si="19"/>
        <v>2060.58</v>
      </c>
      <c r="T40" s="56">
        <f t="shared" si="20"/>
        <v>6152.1999999999989</v>
      </c>
      <c r="U40" s="71">
        <v>398.64</v>
      </c>
      <c r="V40" s="47">
        <f t="shared" si="21"/>
        <v>1540.3300000000002</v>
      </c>
      <c r="W40" s="58">
        <f t="shared" si="22"/>
        <v>150.28</v>
      </c>
      <c r="X40" s="58">
        <f t="shared" si="23"/>
        <v>13.98</v>
      </c>
      <c r="Y40" s="59">
        <f t="shared" si="24"/>
        <v>2103.2300000000005</v>
      </c>
    </row>
    <row r="41" spans="1:25" ht="64.5" x14ac:dyDescent="0.35">
      <c r="A41" s="1"/>
      <c r="B41" s="50" t="s">
        <v>98</v>
      </c>
      <c r="C41" s="51" t="s">
        <v>99</v>
      </c>
      <c r="D41" s="50" t="s">
        <v>97</v>
      </c>
      <c r="E41" s="47">
        <v>7513.82</v>
      </c>
      <c r="F41" s="52">
        <v>15</v>
      </c>
      <c r="G41" s="52">
        <v>698.96</v>
      </c>
      <c r="H41" s="54">
        <v>2062</v>
      </c>
      <c r="I41" s="47"/>
      <c r="J41" s="67"/>
      <c r="K41" s="47"/>
      <c r="L41" s="47">
        <f t="shared" si="25"/>
        <v>8212.7799999999988</v>
      </c>
      <c r="M41" s="47">
        <v>0</v>
      </c>
      <c r="N41" s="47"/>
      <c r="O41" s="47">
        <v>1116.03</v>
      </c>
      <c r="P41" s="47">
        <v>0.08</v>
      </c>
      <c r="Q41" s="72">
        <f t="shared" si="18"/>
        <v>864.09</v>
      </c>
      <c r="R41" s="55">
        <f t="shared" si="26"/>
        <v>80.38</v>
      </c>
      <c r="S41" s="47">
        <f t="shared" si="19"/>
        <v>4122.58</v>
      </c>
      <c r="T41" s="56">
        <f t="shared" si="20"/>
        <v>4090.1999999999989</v>
      </c>
      <c r="U41" s="71">
        <v>398.64</v>
      </c>
      <c r="V41" s="47">
        <f t="shared" si="21"/>
        <v>1540.3300000000002</v>
      </c>
      <c r="W41" s="58">
        <f t="shared" si="22"/>
        <v>150.28</v>
      </c>
      <c r="X41" s="58">
        <f t="shared" si="23"/>
        <v>13.98</v>
      </c>
      <c r="Y41" s="59">
        <f t="shared" si="24"/>
        <v>2103.2300000000005</v>
      </c>
    </row>
    <row r="42" spans="1:25" ht="80.25" x14ac:dyDescent="0.35">
      <c r="A42" s="1"/>
      <c r="B42" s="50" t="s">
        <v>100</v>
      </c>
      <c r="C42" s="51" t="s">
        <v>101</v>
      </c>
      <c r="D42" s="50" t="s">
        <v>102</v>
      </c>
      <c r="E42" s="47">
        <v>7513.82</v>
      </c>
      <c r="F42" s="52">
        <v>15</v>
      </c>
      <c r="G42" s="52">
        <v>698.96</v>
      </c>
      <c r="H42" s="47"/>
      <c r="I42" s="47"/>
      <c r="J42" s="60"/>
      <c r="K42" s="47"/>
      <c r="L42" s="47">
        <f t="shared" si="25"/>
        <v>8212.7799999999988</v>
      </c>
      <c r="M42" s="47">
        <v>0</v>
      </c>
      <c r="N42" s="47"/>
      <c r="O42" s="47">
        <v>1116.03</v>
      </c>
      <c r="P42" s="47">
        <v>-0.05</v>
      </c>
      <c r="Q42" s="74"/>
      <c r="R42" s="55"/>
      <c r="S42" s="47">
        <f t="shared" si="19"/>
        <v>1115.98</v>
      </c>
      <c r="T42" s="56">
        <f t="shared" si="20"/>
        <v>7096.7999999999993</v>
      </c>
      <c r="U42" s="71">
        <v>398.64</v>
      </c>
      <c r="V42" s="47"/>
      <c r="W42" s="71"/>
      <c r="X42" s="58"/>
      <c r="Y42" s="59">
        <f t="shared" si="24"/>
        <v>398.64</v>
      </c>
    </row>
    <row r="43" spans="1:25" ht="64.5" x14ac:dyDescent="0.35">
      <c r="A43" s="1"/>
      <c r="B43" s="50" t="s">
        <v>103</v>
      </c>
      <c r="C43" s="51" t="s">
        <v>104</v>
      </c>
      <c r="D43" s="50" t="s">
        <v>102</v>
      </c>
      <c r="E43" s="47">
        <v>7513.82</v>
      </c>
      <c r="F43" s="52">
        <v>15</v>
      </c>
      <c r="G43" s="52">
        <v>698.96</v>
      </c>
      <c r="H43" s="47"/>
      <c r="I43" s="47"/>
      <c r="J43" s="60">
        <v>1.19</v>
      </c>
      <c r="K43" s="47"/>
      <c r="L43" s="47">
        <f t="shared" si="25"/>
        <v>8211.59</v>
      </c>
      <c r="M43" s="47">
        <v>0</v>
      </c>
      <c r="N43" s="47"/>
      <c r="O43" s="47">
        <v>1116.03</v>
      </c>
      <c r="P43" s="47">
        <v>0.09</v>
      </c>
      <c r="Q43" s="72">
        <f t="shared" ref="Q43:Q49" si="27">ROUND(E43*0.115,2)</f>
        <v>864.09</v>
      </c>
      <c r="R43" s="55">
        <f t="shared" si="26"/>
        <v>80.38</v>
      </c>
      <c r="S43" s="47">
        <f t="shared" si="19"/>
        <v>2060.59</v>
      </c>
      <c r="T43" s="56">
        <f t="shared" si="20"/>
        <v>6151</v>
      </c>
      <c r="U43" s="71">
        <v>398.64</v>
      </c>
      <c r="V43" s="47">
        <f t="shared" ref="V43:V49" si="28">ROUND(+E43*17.5%,2)+ROUND(E43*3%,2)</f>
        <v>1540.3300000000002</v>
      </c>
      <c r="W43" s="58">
        <f t="shared" ref="W43:W49" si="29">ROUND(+E43*2%,2)</f>
        <v>150.28</v>
      </c>
      <c r="X43" s="58">
        <f t="shared" si="23"/>
        <v>13.98</v>
      </c>
      <c r="Y43" s="59">
        <f t="shared" si="24"/>
        <v>2103.2300000000005</v>
      </c>
    </row>
    <row r="44" spans="1:25" ht="64.5" x14ac:dyDescent="0.35">
      <c r="A44" s="1"/>
      <c r="B44" s="70" t="s">
        <v>105</v>
      </c>
      <c r="C44" s="51" t="s">
        <v>106</v>
      </c>
      <c r="D44" s="70" t="s">
        <v>107</v>
      </c>
      <c r="E44" s="47">
        <v>7513.82</v>
      </c>
      <c r="F44" s="52">
        <v>15</v>
      </c>
      <c r="G44" s="52">
        <v>698.96</v>
      </c>
      <c r="H44" s="47"/>
      <c r="I44" s="47"/>
      <c r="J44" s="60"/>
      <c r="K44" s="47"/>
      <c r="L44" s="47">
        <f t="shared" si="25"/>
        <v>8212.7799999999988</v>
      </c>
      <c r="M44" s="47">
        <v>0</v>
      </c>
      <c r="N44" s="47"/>
      <c r="O44" s="47">
        <v>1116.03</v>
      </c>
      <c r="P44" s="47">
        <v>0.08</v>
      </c>
      <c r="Q44" s="72">
        <f t="shared" si="27"/>
        <v>864.09</v>
      </c>
      <c r="R44" s="55">
        <f t="shared" si="26"/>
        <v>80.38</v>
      </c>
      <c r="S44" s="47">
        <f t="shared" si="19"/>
        <v>2060.58</v>
      </c>
      <c r="T44" s="56">
        <f t="shared" si="20"/>
        <v>6152.1999999999989</v>
      </c>
      <c r="U44" s="71">
        <v>398.64</v>
      </c>
      <c r="V44" s="47">
        <f t="shared" si="28"/>
        <v>1540.3300000000002</v>
      </c>
      <c r="W44" s="58">
        <f t="shared" si="29"/>
        <v>150.28</v>
      </c>
      <c r="X44" s="58">
        <f t="shared" si="23"/>
        <v>13.98</v>
      </c>
      <c r="Y44" s="59">
        <f t="shared" si="24"/>
        <v>2103.2300000000005</v>
      </c>
    </row>
    <row r="45" spans="1:25" ht="48.75" x14ac:dyDescent="0.35">
      <c r="A45" s="1"/>
      <c r="B45" s="70" t="s">
        <v>108</v>
      </c>
      <c r="C45" s="51" t="s">
        <v>109</v>
      </c>
      <c r="D45" s="70" t="s">
        <v>107</v>
      </c>
      <c r="E45" s="47">
        <v>7513.82</v>
      </c>
      <c r="F45" s="52">
        <v>15</v>
      </c>
      <c r="G45" s="52">
        <v>698.96</v>
      </c>
      <c r="H45" s="54">
        <v>593</v>
      </c>
      <c r="I45" s="47"/>
      <c r="J45" s="60"/>
      <c r="K45" s="47"/>
      <c r="L45" s="47">
        <f t="shared" si="25"/>
        <v>8212.7799999999988</v>
      </c>
      <c r="M45" s="47">
        <v>0</v>
      </c>
      <c r="N45" s="47"/>
      <c r="O45" s="47">
        <v>1116.03</v>
      </c>
      <c r="P45" s="47">
        <v>0.08</v>
      </c>
      <c r="Q45" s="72">
        <f t="shared" si="27"/>
        <v>864.09</v>
      </c>
      <c r="R45" s="55">
        <f t="shared" si="26"/>
        <v>80.38</v>
      </c>
      <c r="S45" s="47">
        <f t="shared" si="19"/>
        <v>2653.58</v>
      </c>
      <c r="T45" s="56">
        <f t="shared" si="20"/>
        <v>5559.1999999999989</v>
      </c>
      <c r="U45" s="71">
        <v>398.64</v>
      </c>
      <c r="V45" s="47">
        <f t="shared" si="28"/>
        <v>1540.3300000000002</v>
      </c>
      <c r="W45" s="58">
        <f t="shared" si="29"/>
        <v>150.28</v>
      </c>
      <c r="X45" s="58">
        <f t="shared" si="23"/>
        <v>13.98</v>
      </c>
      <c r="Y45" s="59">
        <f t="shared" si="24"/>
        <v>2103.2300000000005</v>
      </c>
    </row>
    <row r="46" spans="1:25" ht="48.75" x14ac:dyDescent="0.35">
      <c r="A46" s="1"/>
      <c r="B46" s="70" t="s">
        <v>110</v>
      </c>
      <c r="C46" s="51" t="s">
        <v>111</v>
      </c>
      <c r="D46" s="70" t="s">
        <v>107</v>
      </c>
      <c r="E46" s="47">
        <v>7513.82</v>
      </c>
      <c r="F46" s="52">
        <v>15</v>
      </c>
      <c r="G46" s="52">
        <v>698.96</v>
      </c>
      <c r="H46" s="47"/>
      <c r="I46" s="47"/>
      <c r="J46" s="60">
        <v>8.35</v>
      </c>
      <c r="K46" s="47"/>
      <c r="L46" s="47">
        <f t="shared" si="25"/>
        <v>8204.43</v>
      </c>
      <c r="M46" s="47">
        <v>0</v>
      </c>
      <c r="N46" s="47"/>
      <c r="O46" s="47">
        <v>1116.03</v>
      </c>
      <c r="P46" s="47">
        <v>-7.0000000000000007E-2</v>
      </c>
      <c r="Q46" s="72">
        <f t="shared" si="27"/>
        <v>864.09</v>
      </c>
      <c r="R46" s="55">
        <f t="shared" si="26"/>
        <v>80.38</v>
      </c>
      <c r="S46" s="47">
        <f t="shared" si="19"/>
        <v>2060.4300000000003</v>
      </c>
      <c r="T46" s="56">
        <f t="shared" si="20"/>
        <v>6144</v>
      </c>
      <c r="U46" s="71">
        <v>398.64</v>
      </c>
      <c r="V46" s="47">
        <f t="shared" si="28"/>
        <v>1540.3300000000002</v>
      </c>
      <c r="W46" s="58">
        <f t="shared" si="29"/>
        <v>150.28</v>
      </c>
      <c r="X46" s="58">
        <f t="shared" si="23"/>
        <v>13.98</v>
      </c>
      <c r="Y46" s="59">
        <f t="shared" si="24"/>
        <v>2103.2300000000005</v>
      </c>
    </row>
    <row r="47" spans="1:25" ht="64.5" x14ac:dyDescent="0.35">
      <c r="A47" s="1"/>
      <c r="B47" s="70" t="s">
        <v>112</v>
      </c>
      <c r="C47" s="51" t="s">
        <v>113</v>
      </c>
      <c r="D47" s="70" t="s">
        <v>107</v>
      </c>
      <c r="E47" s="47">
        <v>7513.82</v>
      </c>
      <c r="F47" s="52">
        <v>15</v>
      </c>
      <c r="G47" s="52">
        <v>698.96</v>
      </c>
      <c r="H47" s="47"/>
      <c r="I47" s="47"/>
      <c r="J47" s="60">
        <v>3.58</v>
      </c>
      <c r="K47" s="47"/>
      <c r="L47" s="47">
        <f t="shared" si="25"/>
        <v>8209.2000000000007</v>
      </c>
      <c r="M47" s="47">
        <v>0</v>
      </c>
      <c r="N47" s="47"/>
      <c r="O47" s="47">
        <v>1116.03</v>
      </c>
      <c r="P47" s="47">
        <v>0.1</v>
      </c>
      <c r="Q47" s="72">
        <f t="shared" si="27"/>
        <v>864.09</v>
      </c>
      <c r="R47" s="55">
        <f t="shared" si="26"/>
        <v>80.38</v>
      </c>
      <c r="S47" s="47">
        <f t="shared" si="19"/>
        <v>2060.6</v>
      </c>
      <c r="T47" s="75">
        <f t="shared" si="20"/>
        <v>6148.6</v>
      </c>
      <c r="U47" s="71">
        <v>398.64</v>
      </c>
      <c r="V47" s="47">
        <f t="shared" si="28"/>
        <v>1540.3300000000002</v>
      </c>
      <c r="W47" s="58">
        <f t="shared" si="29"/>
        <v>150.28</v>
      </c>
      <c r="X47" s="58">
        <f t="shared" si="23"/>
        <v>13.98</v>
      </c>
      <c r="Y47" s="59">
        <f t="shared" si="24"/>
        <v>2103.2300000000005</v>
      </c>
    </row>
    <row r="48" spans="1:25" ht="48.75" x14ac:dyDescent="0.35">
      <c r="A48" s="1"/>
      <c r="B48" s="70" t="s">
        <v>114</v>
      </c>
      <c r="C48" s="51" t="s">
        <v>115</v>
      </c>
      <c r="D48" s="70" t="s">
        <v>107</v>
      </c>
      <c r="E48" s="47">
        <v>7513.82</v>
      </c>
      <c r="F48" s="52">
        <v>15</v>
      </c>
      <c r="G48" s="52">
        <v>698.96</v>
      </c>
      <c r="H48" s="47"/>
      <c r="I48" s="47"/>
      <c r="J48" s="67">
        <v>2.39</v>
      </c>
      <c r="K48" s="47"/>
      <c r="L48" s="47">
        <f t="shared" si="25"/>
        <v>8210.39</v>
      </c>
      <c r="M48" s="47">
        <v>0</v>
      </c>
      <c r="N48" s="47"/>
      <c r="O48" s="47">
        <v>1116.03</v>
      </c>
      <c r="P48" s="47">
        <v>0.09</v>
      </c>
      <c r="Q48" s="72">
        <f t="shared" si="27"/>
        <v>864.09</v>
      </c>
      <c r="R48" s="55">
        <f t="shared" si="26"/>
        <v>80.38</v>
      </c>
      <c r="S48" s="47">
        <f t="shared" si="19"/>
        <v>2060.59</v>
      </c>
      <c r="T48" s="56">
        <f t="shared" si="20"/>
        <v>6149.7999999999993</v>
      </c>
      <c r="U48" s="71">
        <v>398.64</v>
      </c>
      <c r="V48" s="47">
        <f t="shared" si="28"/>
        <v>1540.3300000000002</v>
      </c>
      <c r="W48" s="58">
        <f t="shared" si="29"/>
        <v>150.28</v>
      </c>
      <c r="X48" s="58">
        <f t="shared" si="23"/>
        <v>13.98</v>
      </c>
      <c r="Y48" s="59">
        <f t="shared" si="24"/>
        <v>2103.2300000000005</v>
      </c>
    </row>
    <row r="49" spans="1:25" ht="64.5" x14ac:dyDescent="0.35">
      <c r="A49" s="1"/>
      <c r="B49" s="70" t="s">
        <v>116</v>
      </c>
      <c r="C49" s="51" t="s">
        <v>117</v>
      </c>
      <c r="D49" s="70" t="s">
        <v>118</v>
      </c>
      <c r="E49" s="47">
        <v>4677.54</v>
      </c>
      <c r="F49" s="52">
        <v>15</v>
      </c>
      <c r="G49" s="52">
        <v>435.12</v>
      </c>
      <c r="H49" s="47"/>
      <c r="I49" s="47"/>
      <c r="J49" s="60"/>
      <c r="K49" s="47"/>
      <c r="L49" s="47">
        <f t="shared" si="25"/>
        <v>5112.66</v>
      </c>
      <c r="M49" s="47"/>
      <c r="N49" s="47"/>
      <c r="O49" s="47">
        <v>481.81</v>
      </c>
      <c r="P49" s="47">
        <v>0.09</v>
      </c>
      <c r="Q49" s="72">
        <f t="shared" si="27"/>
        <v>537.91999999999996</v>
      </c>
      <c r="R49" s="55">
        <f t="shared" si="26"/>
        <v>50.04</v>
      </c>
      <c r="S49" s="47">
        <f t="shared" si="19"/>
        <v>1069.8599999999999</v>
      </c>
      <c r="T49" s="76">
        <f t="shared" si="20"/>
        <v>4042.8</v>
      </c>
      <c r="U49" s="57">
        <v>323.77</v>
      </c>
      <c r="V49" s="47">
        <f t="shared" si="28"/>
        <v>958.90000000000009</v>
      </c>
      <c r="W49" s="58">
        <f t="shared" si="29"/>
        <v>93.55</v>
      </c>
      <c r="X49" s="58">
        <f t="shared" si="23"/>
        <v>8.6999999999999993</v>
      </c>
      <c r="Y49" s="59">
        <f t="shared" si="24"/>
        <v>1384.92</v>
      </c>
    </row>
    <row r="50" spans="1:25" ht="24" x14ac:dyDescent="0.3">
      <c r="A50" s="1"/>
      <c r="B50" s="66" t="s">
        <v>29</v>
      </c>
      <c r="C50" s="62"/>
      <c r="D50" s="63"/>
      <c r="E50" s="64">
        <f>SUM(E32:E49)</f>
        <v>117860.30000000003</v>
      </c>
      <c r="F50" s="64"/>
      <c r="G50" s="64">
        <f>SUM(G33:G49)</f>
        <v>10963.749999999998</v>
      </c>
      <c r="H50" s="64">
        <f>SUM(H32:H49)</f>
        <v>5598</v>
      </c>
      <c r="I50" s="64">
        <f>SUM(I32:I47)</f>
        <v>0</v>
      </c>
      <c r="J50" s="64">
        <f>SUM(J32:J49)</f>
        <v>87.16</v>
      </c>
      <c r="K50" s="64">
        <f t="shared" ref="K50:Y50" si="30">SUM(K32:K49)</f>
        <v>0</v>
      </c>
      <c r="L50" s="64">
        <f t="shared" si="30"/>
        <v>128736.88999999998</v>
      </c>
      <c r="M50" s="64">
        <f t="shared" si="30"/>
        <v>0</v>
      </c>
      <c r="N50" s="64">
        <f t="shared" si="30"/>
        <v>0</v>
      </c>
      <c r="O50" s="64">
        <f t="shared" si="30"/>
        <v>17333.270000000004</v>
      </c>
      <c r="P50" s="64">
        <f>SUM(P32:P49)</f>
        <v>0.5099999999999999</v>
      </c>
      <c r="Q50" s="64">
        <f t="shared" si="30"/>
        <v>12689.86</v>
      </c>
      <c r="R50" s="64">
        <f>SUM(R33:R49)</f>
        <v>1180.4499999999998</v>
      </c>
      <c r="S50" s="64">
        <f t="shared" si="30"/>
        <v>36802.089999999997</v>
      </c>
      <c r="T50" s="64">
        <f t="shared" si="30"/>
        <v>91934.799999999988</v>
      </c>
      <c r="U50" s="64">
        <f t="shared" si="30"/>
        <v>6710.5500000000011</v>
      </c>
      <c r="V50" s="64">
        <f t="shared" si="30"/>
        <v>22620.990000000009</v>
      </c>
      <c r="W50" s="64">
        <f t="shared" si="30"/>
        <v>2206.98</v>
      </c>
      <c r="X50" s="64">
        <f>SUM(X33:X49)</f>
        <v>205.29999999999995</v>
      </c>
      <c r="Y50" s="64">
        <f t="shared" si="30"/>
        <v>31743.82</v>
      </c>
    </row>
    <row r="51" spans="1:25" ht="18.75" x14ac:dyDescent="0.3">
      <c r="A51" s="1"/>
      <c r="B51" s="37"/>
      <c r="C51" s="38"/>
      <c r="D51" s="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2"/>
      <c r="U51" s="1"/>
      <c r="V51" s="1"/>
      <c r="W51" s="1"/>
      <c r="X51" s="1"/>
      <c r="Y51" s="1"/>
    </row>
    <row r="52" spans="1:25" ht="32.25" x14ac:dyDescent="0.3">
      <c r="A52" s="1"/>
      <c r="B52" s="41" t="s">
        <v>119</v>
      </c>
      <c r="C52" s="39" t="s">
        <v>120</v>
      </c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2"/>
      <c r="U52" s="1"/>
      <c r="V52" s="1"/>
      <c r="W52" s="1"/>
      <c r="X52" s="1"/>
      <c r="Y52" s="1"/>
    </row>
    <row r="53" spans="1:25" ht="64.5" x14ac:dyDescent="0.35">
      <c r="A53" s="1"/>
      <c r="B53" s="37" t="s">
        <v>121</v>
      </c>
      <c r="C53" s="38" t="s">
        <v>122</v>
      </c>
      <c r="D53" s="37" t="s">
        <v>123</v>
      </c>
      <c r="E53" s="3">
        <v>7989.28</v>
      </c>
      <c r="F53" s="13">
        <v>15</v>
      </c>
      <c r="G53" s="13">
        <v>743.19</v>
      </c>
      <c r="H53" s="22"/>
      <c r="I53" s="3"/>
      <c r="J53" s="20"/>
      <c r="K53" s="3"/>
      <c r="L53" s="3">
        <f>E53+-J53+G53</f>
        <v>8732.4699999999993</v>
      </c>
      <c r="M53" s="3"/>
      <c r="N53" s="3"/>
      <c r="O53" s="3">
        <v>1227.04</v>
      </c>
      <c r="P53" s="3">
        <v>-0.01</v>
      </c>
      <c r="Q53" s="15">
        <f>ROUND(E53*0.115,2)</f>
        <v>918.77</v>
      </c>
      <c r="R53" s="15">
        <f t="shared" ref="R53:R58" si="31">ROUND(G53*0.115,2)</f>
        <v>85.47</v>
      </c>
      <c r="S53" s="3">
        <f t="shared" ref="S53:S58" si="32">SUM(O53:R53)+H53</f>
        <v>2231.27</v>
      </c>
      <c r="T53" s="16">
        <f t="shared" ref="T53:T58" si="33">L53-S53</f>
        <v>6501.1999999999989</v>
      </c>
      <c r="U53" s="24">
        <v>411.18</v>
      </c>
      <c r="V53" s="3">
        <f>ROUND(+E53*17.5%,2)+ROUND(E53*3%,2)</f>
        <v>1637.8</v>
      </c>
      <c r="W53" s="18">
        <f>ROUND(+E53*2%,2)</f>
        <v>159.79</v>
      </c>
      <c r="X53" s="18">
        <f t="shared" ref="X53:X58" si="34">ROUND(+G53*2%,2)</f>
        <v>14.86</v>
      </c>
      <c r="Y53" s="19">
        <f t="shared" ref="Y53:Y58" si="35">SUM(U53:X53)</f>
        <v>2223.63</v>
      </c>
    </row>
    <row r="54" spans="1:25" ht="64.5" x14ac:dyDescent="0.35">
      <c r="A54" s="1"/>
      <c r="B54" s="37" t="s">
        <v>124</v>
      </c>
      <c r="C54" s="38" t="s">
        <v>125</v>
      </c>
      <c r="D54" s="37" t="s">
        <v>77</v>
      </c>
      <c r="E54" s="3">
        <v>7513.82</v>
      </c>
      <c r="F54" s="13">
        <v>15</v>
      </c>
      <c r="G54" s="13">
        <v>683.43</v>
      </c>
      <c r="H54" s="3"/>
      <c r="I54" s="3"/>
      <c r="J54" s="20"/>
      <c r="K54" s="3"/>
      <c r="L54" s="3">
        <f t="shared" ref="L54:L58" si="36">E54+-J54+G54</f>
        <v>8197.25</v>
      </c>
      <c r="M54" s="3"/>
      <c r="N54" s="3"/>
      <c r="O54" s="3">
        <v>1112.71</v>
      </c>
      <c r="P54" s="3">
        <v>0.06</v>
      </c>
      <c r="Q54" s="15">
        <f>ROUND(E54*0.115,2)</f>
        <v>864.09</v>
      </c>
      <c r="R54" s="15">
        <f t="shared" si="31"/>
        <v>78.59</v>
      </c>
      <c r="S54" s="3">
        <f t="shared" si="32"/>
        <v>2055.4500000000003</v>
      </c>
      <c r="T54" s="16">
        <f t="shared" si="33"/>
        <v>6141.7999999999993</v>
      </c>
      <c r="U54" s="24">
        <v>398.64</v>
      </c>
      <c r="V54" s="3">
        <f>ROUND(+E54*17.5%,2)+ROUND(E54*3%,2)</f>
        <v>1540.3300000000002</v>
      </c>
      <c r="W54" s="18">
        <f>ROUND(+E54*2%,2)</f>
        <v>150.28</v>
      </c>
      <c r="X54" s="18">
        <f t="shared" si="34"/>
        <v>13.67</v>
      </c>
      <c r="Y54" s="19">
        <f t="shared" si="35"/>
        <v>2102.9200000000005</v>
      </c>
    </row>
    <row r="55" spans="1:25" ht="48.75" x14ac:dyDescent="0.35">
      <c r="A55" s="1"/>
      <c r="B55" s="37" t="s">
        <v>126</v>
      </c>
      <c r="C55" s="38" t="s">
        <v>127</v>
      </c>
      <c r="D55" s="37" t="s">
        <v>107</v>
      </c>
      <c r="E55" s="3">
        <v>7513.82</v>
      </c>
      <c r="F55" s="13">
        <v>15</v>
      </c>
      <c r="G55" s="13">
        <v>698.96</v>
      </c>
      <c r="H55" s="3"/>
      <c r="I55" s="3"/>
      <c r="J55" s="20">
        <v>14.31</v>
      </c>
      <c r="K55" s="3"/>
      <c r="L55" s="3">
        <f t="shared" si="36"/>
        <v>8198.4699999999993</v>
      </c>
      <c r="M55" s="3"/>
      <c r="N55" s="3"/>
      <c r="O55" s="3">
        <v>1116.03</v>
      </c>
      <c r="P55" s="3">
        <v>0.04</v>
      </c>
      <c r="Q55" s="15"/>
      <c r="R55" s="15"/>
      <c r="S55" s="3">
        <f t="shared" si="32"/>
        <v>1116.07</v>
      </c>
      <c r="T55" s="16">
        <f t="shared" si="33"/>
        <v>7082.4</v>
      </c>
      <c r="U55" s="24">
        <v>398.64</v>
      </c>
      <c r="V55" s="3"/>
      <c r="W55" s="18"/>
      <c r="X55" s="18"/>
      <c r="Y55" s="19">
        <f t="shared" si="35"/>
        <v>398.64</v>
      </c>
    </row>
    <row r="56" spans="1:25" ht="87.75" x14ac:dyDescent="0.35">
      <c r="A56" s="1" t="s">
        <v>128</v>
      </c>
      <c r="B56" s="26" t="s">
        <v>129</v>
      </c>
      <c r="C56" s="38" t="s">
        <v>130</v>
      </c>
      <c r="D56" s="26" t="s">
        <v>131</v>
      </c>
      <c r="E56" s="3">
        <v>7289.18</v>
      </c>
      <c r="F56" s="13">
        <v>15</v>
      </c>
      <c r="G56" s="13">
        <v>678.06</v>
      </c>
      <c r="H56" s="3"/>
      <c r="I56" s="3"/>
      <c r="J56" s="20">
        <v>1.1599999999999999</v>
      </c>
      <c r="K56" s="3"/>
      <c r="L56" s="3">
        <f t="shared" si="36"/>
        <v>7966.08</v>
      </c>
      <c r="M56" s="3"/>
      <c r="N56" s="3"/>
      <c r="O56" s="3">
        <v>1063.5999999999999</v>
      </c>
      <c r="P56" s="3">
        <v>-0.16</v>
      </c>
      <c r="Q56" s="15">
        <f>ROUND(E56*0.115,2)</f>
        <v>838.26</v>
      </c>
      <c r="R56" s="15">
        <f t="shared" si="31"/>
        <v>77.98</v>
      </c>
      <c r="S56" s="3">
        <f t="shared" si="32"/>
        <v>1979.6799999999998</v>
      </c>
      <c r="T56" s="16">
        <f t="shared" si="33"/>
        <v>5986.4</v>
      </c>
      <c r="U56" s="24">
        <v>392.71</v>
      </c>
      <c r="V56" s="3">
        <f>ROUND(+E56*17.5%,2)+ROUND(E56*3%,2)</f>
        <v>1494.29</v>
      </c>
      <c r="W56" s="18">
        <f>ROUND(+E56*2%,2)</f>
        <v>145.78</v>
      </c>
      <c r="X56" s="18">
        <f t="shared" si="34"/>
        <v>13.56</v>
      </c>
      <c r="Y56" s="19">
        <f t="shared" si="35"/>
        <v>2046.34</v>
      </c>
    </row>
    <row r="57" spans="1:25" ht="87.75" x14ac:dyDescent="0.35">
      <c r="A57" s="1"/>
      <c r="B57" s="26" t="s">
        <v>132</v>
      </c>
      <c r="C57" s="38" t="s">
        <v>133</v>
      </c>
      <c r="D57" s="26" t="s">
        <v>131</v>
      </c>
      <c r="E57" s="3">
        <v>7289.18</v>
      </c>
      <c r="F57" s="13">
        <v>15</v>
      </c>
      <c r="G57" s="13">
        <v>678.06</v>
      </c>
      <c r="H57" s="3"/>
      <c r="I57" s="3"/>
      <c r="J57" s="20"/>
      <c r="K57" s="3"/>
      <c r="L57" s="3">
        <f t="shared" si="36"/>
        <v>7967.24</v>
      </c>
      <c r="M57" s="3"/>
      <c r="N57" s="3"/>
      <c r="O57" s="3">
        <v>1063.5999999999999</v>
      </c>
      <c r="P57" s="3">
        <v>0</v>
      </c>
      <c r="Q57" s="15">
        <f>ROUND(E57*0.115,2)</f>
        <v>838.26</v>
      </c>
      <c r="R57" s="15">
        <f t="shared" si="31"/>
        <v>77.98</v>
      </c>
      <c r="S57" s="3">
        <f t="shared" si="32"/>
        <v>1979.84</v>
      </c>
      <c r="T57" s="16">
        <f t="shared" si="33"/>
        <v>5987.4</v>
      </c>
      <c r="U57" s="24">
        <v>392.71</v>
      </c>
      <c r="V57" s="3">
        <f>ROUND(+E57*17.5%,2)+ROUND(E57*3%,2)</f>
        <v>1494.29</v>
      </c>
      <c r="W57" s="18">
        <f>ROUND(+E57*2%,2)</f>
        <v>145.78</v>
      </c>
      <c r="X57" s="18">
        <f t="shared" si="34"/>
        <v>13.56</v>
      </c>
      <c r="Y57" s="19">
        <f t="shared" si="35"/>
        <v>2046.34</v>
      </c>
    </row>
    <row r="58" spans="1:25" ht="87.75" x14ac:dyDescent="0.35">
      <c r="A58" s="1"/>
      <c r="B58" s="26" t="s">
        <v>134</v>
      </c>
      <c r="C58" s="38" t="s">
        <v>135</v>
      </c>
      <c r="D58" s="26" t="s">
        <v>131</v>
      </c>
      <c r="E58" s="3">
        <v>7289.18</v>
      </c>
      <c r="F58" s="13">
        <v>15</v>
      </c>
      <c r="G58" s="13">
        <v>662.99</v>
      </c>
      <c r="H58" s="14">
        <v>1570</v>
      </c>
      <c r="I58" s="3"/>
      <c r="J58" s="20">
        <v>1.1599999999999999</v>
      </c>
      <c r="K58" s="3"/>
      <c r="L58" s="3">
        <f t="shared" si="36"/>
        <v>7951.01</v>
      </c>
      <c r="M58" s="3"/>
      <c r="N58" s="3"/>
      <c r="O58" s="3">
        <v>1060.3800000000001</v>
      </c>
      <c r="P58" s="3">
        <v>-7.0000000000000007E-2</v>
      </c>
      <c r="Q58" s="25">
        <f>ROUND(E58*0.115,2)</f>
        <v>838.26</v>
      </c>
      <c r="R58" s="15">
        <f t="shared" si="31"/>
        <v>76.239999999999995</v>
      </c>
      <c r="S58" s="3">
        <f t="shared" si="32"/>
        <v>3544.8100000000004</v>
      </c>
      <c r="T58" s="16">
        <f t="shared" si="33"/>
        <v>4406.2</v>
      </c>
      <c r="U58" s="24">
        <v>392.71</v>
      </c>
      <c r="V58" s="3">
        <f>ROUND(+E58*17.5%,2)+ROUND(E58*3%,2)</f>
        <v>1494.29</v>
      </c>
      <c r="W58" s="18">
        <f>ROUND(+E58*2%,2)</f>
        <v>145.78</v>
      </c>
      <c r="X58" s="18">
        <f t="shared" si="34"/>
        <v>13.26</v>
      </c>
      <c r="Y58" s="19">
        <f t="shared" si="35"/>
        <v>2046.04</v>
      </c>
    </row>
    <row r="59" spans="1:25" ht="24" x14ac:dyDescent="0.3">
      <c r="A59" s="1"/>
      <c r="B59" s="41" t="s">
        <v>29</v>
      </c>
      <c r="C59" s="39"/>
      <c r="D59" s="40"/>
      <c r="E59" s="21">
        <f>SUM(E53:E58)</f>
        <v>44884.46</v>
      </c>
      <c r="F59" s="21"/>
      <c r="G59" s="21">
        <f>SUM(G53:G58)</f>
        <v>4144.6899999999996</v>
      </c>
      <c r="H59" s="21">
        <f t="shared" ref="H59:I59" si="37">SUM(H53:H58)</f>
        <v>1570</v>
      </c>
      <c r="I59" s="21">
        <f t="shared" si="37"/>
        <v>0</v>
      </c>
      <c r="J59" s="21">
        <f>SUM(J53:J58)</f>
        <v>16.63</v>
      </c>
      <c r="K59" s="21">
        <f t="shared" ref="K59" si="38">SUM(K53:K58)</f>
        <v>0</v>
      </c>
      <c r="L59" s="21">
        <f>SUM(L53:L58)</f>
        <v>49012.520000000004</v>
      </c>
      <c r="M59" s="21">
        <f t="shared" ref="M59:Y59" si="39">SUM(M53:M58)</f>
        <v>0</v>
      </c>
      <c r="N59" s="21">
        <f t="shared" si="39"/>
        <v>0</v>
      </c>
      <c r="O59" s="21">
        <f t="shared" si="39"/>
        <v>6643.36</v>
      </c>
      <c r="P59" s="21">
        <f t="shared" si="39"/>
        <v>-0.14000000000000001</v>
      </c>
      <c r="Q59" s="21">
        <f t="shared" si="39"/>
        <v>4297.6400000000003</v>
      </c>
      <c r="R59" s="21">
        <f>SUM(R53:R58)</f>
        <v>396.26000000000005</v>
      </c>
      <c r="S59" s="21">
        <f t="shared" si="39"/>
        <v>12907.119999999999</v>
      </c>
      <c r="T59" s="21">
        <f>SUM(T53:T58)</f>
        <v>36105.399999999994</v>
      </c>
      <c r="U59" s="21">
        <f t="shared" si="39"/>
        <v>2386.59</v>
      </c>
      <c r="V59" s="21">
        <f t="shared" si="39"/>
        <v>7661</v>
      </c>
      <c r="W59" s="21">
        <f t="shared" si="39"/>
        <v>747.41</v>
      </c>
      <c r="X59" s="21">
        <f>SUM(X53:X58)</f>
        <v>68.910000000000011</v>
      </c>
      <c r="Y59" s="21">
        <f t="shared" si="39"/>
        <v>10863.91</v>
      </c>
    </row>
    <row r="60" spans="1:25" ht="18.75" x14ac:dyDescent="0.3">
      <c r="A60" s="1"/>
      <c r="B60" s="41"/>
      <c r="C60" s="38"/>
      <c r="D60" s="37"/>
      <c r="E60" s="3"/>
      <c r="F60" s="3"/>
      <c r="G60" s="3"/>
      <c r="H60" s="3"/>
      <c r="I60" s="3"/>
      <c r="J60" s="3"/>
      <c r="K60" s="3"/>
      <c r="L60" s="27"/>
      <c r="M60" s="27"/>
      <c r="N60" s="27"/>
      <c r="O60" s="27"/>
      <c r="P60" s="27"/>
      <c r="Q60" s="27"/>
      <c r="R60" s="27"/>
      <c r="S60" s="27"/>
      <c r="T60" s="28"/>
      <c r="U60" s="29"/>
      <c r="V60" s="29"/>
      <c r="W60" s="29"/>
      <c r="X60" s="29"/>
      <c r="Y60" s="29"/>
    </row>
    <row r="61" spans="1:25" ht="48" x14ac:dyDescent="0.3">
      <c r="A61" s="1"/>
      <c r="B61" s="41" t="s">
        <v>136</v>
      </c>
      <c r="C61" s="39" t="s">
        <v>137</v>
      </c>
      <c r="D61" s="37"/>
      <c r="E61" s="3"/>
      <c r="F61" s="3"/>
      <c r="G61" s="3"/>
      <c r="H61" s="3"/>
      <c r="I61" s="3"/>
      <c r="J61" s="3"/>
      <c r="K61" s="3"/>
      <c r="L61" s="27"/>
      <c r="M61" s="27"/>
      <c r="N61" s="27"/>
      <c r="O61" s="27"/>
      <c r="P61" s="27"/>
      <c r="Q61" s="27"/>
      <c r="R61" s="27"/>
      <c r="S61" s="27"/>
      <c r="T61" s="28"/>
      <c r="U61" s="29"/>
      <c r="V61" s="29"/>
      <c r="W61" s="29"/>
      <c r="X61" s="29"/>
      <c r="Y61" s="29"/>
    </row>
    <row r="62" spans="1:25" ht="48.75" x14ac:dyDescent="0.35">
      <c r="A62" s="1"/>
      <c r="B62" s="37" t="s">
        <v>138</v>
      </c>
      <c r="C62" s="38" t="s">
        <v>139</v>
      </c>
      <c r="D62" s="37" t="s">
        <v>34</v>
      </c>
      <c r="E62" s="3">
        <v>13520</v>
      </c>
      <c r="F62" s="13">
        <v>15</v>
      </c>
      <c r="G62" s="13"/>
      <c r="H62" s="23"/>
      <c r="I62" s="3"/>
      <c r="J62" s="3"/>
      <c r="K62" s="3"/>
      <c r="L62" s="3">
        <f>E62+-J62+G62</f>
        <v>13520</v>
      </c>
      <c r="M62" s="3">
        <v>0</v>
      </c>
      <c r="N62" s="3"/>
      <c r="O62" s="3">
        <v>2283.5500000000002</v>
      </c>
      <c r="P62" s="3">
        <v>-0.15</v>
      </c>
      <c r="Q62" s="25">
        <f>ROUND(E62*0.115,2)</f>
        <v>1554.8</v>
      </c>
      <c r="R62" s="15">
        <f t="shared" ref="R62" si="40">ROUND(G62*0.115,2)</f>
        <v>0</v>
      </c>
      <c r="S62" s="3">
        <f t="shared" ref="S62" si="41">SUM(O62:R62)+H62</f>
        <v>3838.2</v>
      </c>
      <c r="T62" s="16">
        <f>L62-S62</f>
        <v>9681.7999999999993</v>
      </c>
      <c r="U62" s="17">
        <v>557.16999999999996</v>
      </c>
      <c r="V62" s="3">
        <f>ROUND(+E62*17.5%,2)+ROUND(E62*3%,2)</f>
        <v>2771.6</v>
      </c>
      <c r="W62" s="18">
        <f>ROUND(+E62*2%,2)</f>
        <v>270.39999999999998</v>
      </c>
      <c r="X62" s="18">
        <f t="shared" ref="X62" si="42">ROUND(+G62*2%,2)</f>
        <v>0</v>
      </c>
      <c r="Y62" s="19">
        <f t="shared" ref="Y62" si="43">SUM(U62:X62)</f>
        <v>3599.17</v>
      </c>
    </row>
    <row r="63" spans="1:25" ht="24" x14ac:dyDescent="0.3">
      <c r="A63" s="1"/>
      <c r="B63" s="41" t="s">
        <v>29</v>
      </c>
      <c r="C63" s="37"/>
      <c r="D63" s="37"/>
      <c r="E63" s="21">
        <f>E62</f>
        <v>13520</v>
      </c>
      <c r="F63" s="21"/>
      <c r="G63" s="21">
        <f>SUM(G62)</f>
        <v>0</v>
      </c>
      <c r="H63" s="21">
        <f>+H62</f>
        <v>0</v>
      </c>
      <c r="I63" s="21"/>
      <c r="J63" s="21">
        <f>J62</f>
        <v>0</v>
      </c>
      <c r="K63" s="21">
        <f t="shared" ref="K63" si="44">K62</f>
        <v>0</v>
      </c>
      <c r="L63" s="21">
        <f>L62</f>
        <v>13520</v>
      </c>
      <c r="M63" s="21">
        <f t="shared" ref="M63:Y63" si="45">M62</f>
        <v>0</v>
      </c>
      <c r="N63" s="21">
        <f t="shared" si="45"/>
        <v>0</v>
      </c>
      <c r="O63" s="21">
        <f t="shared" si="45"/>
        <v>2283.5500000000002</v>
      </c>
      <c r="P63" s="21">
        <f t="shared" si="45"/>
        <v>-0.15</v>
      </c>
      <c r="Q63" s="21">
        <f t="shared" si="45"/>
        <v>1554.8</v>
      </c>
      <c r="R63" s="21">
        <f>SUM(R62)</f>
        <v>0</v>
      </c>
      <c r="S63" s="21">
        <f t="shared" si="45"/>
        <v>3838.2</v>
      </c>
      <c r="T63" s="21">
        <f>T62</f>
        <v>9681.7999999999993</v>
      </c>
      <c r="U63" s="21">
        <f t="shared" si="45"/>
        <v>557.16999999999996</v>
      </c>
      <c r="V63" s="21">
        <f t="shared" si="45"/>
        <v>2771.6</v>
      </c>
      <c r="W63" s="21">
        <f t="shared" si="45"/>
        <v>270.39999999999998</v>
      </c>
      <c r="X63" s="21">
        <f>SUM(X62)</f>
        <v>0</v>
      </c>
      <c r="Y63" s="21">
        <f t="shared" si="45"/>
        <v>3599.17</v>
      </c>
    </row>
    <row r="64" spans="1:25" ht="18.75" x14ac:dyDescent="0.3">
      <c r="A64" s="1"/>
      <c r="B64" s="41"/>
      <c r="C64" s="37"/>
      <c r="D64" s="37"/>
      <c r="E64" s="3"/>
      <c r="F64" s="3"/>
      <c r="G64" s="3"/>
      <c r="H64" s="3"/>
      <c r="I64" s="3"/>
      <c r="J64" s="3"/>
      <c r="K64" s="3"/>
      <c r="L64" s="27"/>
      <c r="M64" s="27"/>
      <c r="N64" s="27"/>
      <c r="O64" s="27"/>
      <c r="P64" s="27"/>
      <c r="Q64" s="27"/>
      <c r="R64" s="27"/>
      <c r="S64" s="27"/>
      <c r="T64" s="28"/>
      <c r="U64" s="29"/>
      <c r="V64" s="29"/>
      <c r="W64" s="29"/>
      <c r="X64" s="29"/>
      <c r="Y64" s="29"/>
    </row>
    <row r="65" spans="1:25" ht="18.75" x14ac:dyDescent="0.3">
      <c r="A65" s="1"/>
      <c r="B65" s="37"/>
      <c r="C65" s="37"/>
      <c r="D65" s="3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1"/>
      <c r="V65" s="1"/>
      <c r="W65" s="1"/>
      <c r="X65" s="1"/>
      <c r="Y65" s="1"/>
    </row>
    <row r="66" spans="1:25" ht="18.75" x14ac:dyDescent="0.3">
      <c r="A66" s="1"/>
      <c r="B66" s="37"/>
      <c r="C66" s="42" t="s">
        <v>140</v>
      </c>
      <c r="D66" s="37"/>
      <c r="E66" s="32">
        <f>E9+E22+E29+E50+E59+E63</f>
        <v>304181.28000000003</v>
      </c>
      <c r="F66" s="31"/>
      <c r="G66" s="21">
        <f>G9+G22+G29+G50+G59+G63</f>
        <v>27402.889999999996</v>
      </c>
      <c r="H66" s="32">
        <f>H9+H22+H29+H50+H59+H63</f>
        <v>18848</v>
      </c>
      <c r="I66" s="31"/>
      <c r="J66" s="34">
        <f t="shared" ref="J66:S66" si="46">J9+J22+J29+J50+J59+J63</f>
        <v>124.58999999999999</v>
      </c>
      <c r="K66" s="31">
        <f t="shared" si="46"/>
        <v>0</v>
      </c>
      <c r="L66" s="32">
        <f t="shared" si="46"/>
        <v>331459.58</v>
      </c>
      <c r="M66" s="31">
        <f t="shared" si="46"/>
        <v>9102.93</v>
      </c>
      <c r="N66" s="31">
        <f t="shared" si="46"/>
        <v>9102.85</v>
      </c>
      <c r="O66" s="32">
        <f t="shared" si="46"/>
        <v>47054.740000000005</v>
      </c>
      <c r="P66" s="31">
        <f t="shared" si="46"/>
        <v>0.35999999999999988</v>
      </c>
      <c r="Q66" s="32">
        <f t="shared" si="46"/>
        <v>33252.71</v>
      </c>
      <c r="R66" s="32">
        <f t="shared" si="46"/>
        <v>2990.57</v>
      </c>
      <c r="S66" s="31">
        <f t="shared" si="46"/>
        <v>102146.37999999999</v>
      </c>
      <c r="T66" s="33">
        <f>ROUND(+T9+T22+T29+T50+T59+T63,1)</f>
        <v>229313.2</v>
      </c>
      <c r="U66" s="31">
        <f>U9+U22+U29+U50+U59+U63</f>
        <v>16233.6</v>
      </c>
      <c r="V66" s="34">
        <f>V63+V59+V50+V29+V22+V9</f>
        <v>59276.464600000007</v>
      </c>
      <c r="W66" s="32">
        <f>W9+W22+W29+W50+W59+W63</f>
        <v>5783.1699999999992</v>
      </c>
      <c r="X66" s="32">
        <f>X9+X22+X29+X50+X59+X63</f>
        <v>520.1</v>
      </c>
      <c r="Y66" s="35">
        <f>Y9+Y22+Y29+Y50+Y59+Y63</f>
        <v>81813.334600000017</v>
      </c>
    </row>
    <row r="67" spans="1:25" ht="18.75" hidden="1" x14ac:dyDescent="0.3">
      <c r="A67" s="1"/>
      <c r="B67" s="37"/>
      <c r="C67" s="37"/>
      <c r="D67" s="3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31"/>
      <c r="V67" s="31"/>
      <c r="W67" s="1"/>
      <c r="X67" s="1"/>
      <c r="Y67" s="1"/>
    </row>
    <row r="68" spans="1:25" ht="43.5" hidden="1" x14ac:dyDescent="0.25">
      <c r="A68" s="1"/>
      <c r="B68" s="37"/>
      <c r="C68" s="26" t="s">
        <v>141</v>
      </c>
      <c r="D68" s="37"/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>
        <f>G7+G8+G13+G14+G15+G16+G17+G18+G19+G20+G21+G25+G26+G27+G28+G33+G34+G35+G36+G37+G39+G40+G41+G43+G44+G45+G46+G47+G48+G49+G53+G54+G56+G57+G58</f>
        <v>26004.96999999999</v>
      </c>
      <c r="H68" s="3">
        <f>G68*17.5%</f>
        <v>4550.869749999998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3"/>
      <c r="W68" s="1"/>
      <c r="X68" s="1"/>
      <c r="Y68" s="1"/>
    </row>
    <row r="69" spans="1:25" ht="43.5" hidden="1" x14ac:dyDescent="0.25">
      <c r="A69" s="1"/>
      <c r="B69" s="37"/>
      <c r="C69" s="26" t="s">
        <v>142</v>
      </c>
      <c r="D69" s="37"/>
      <c r="E69" s="3">
        <f>E68</f>
        <v>289153.64000000007</v>
      </c>
      <c r="F69" s="3">
        <f>E69*3%</f>
        <v>8674.6092000000026</v>
      </c>
      <c r="G69" s="3">
        <f>G68</f>
        <v>26004.96999999999</v>
      </c>
      <c r="H69" s="3">
        <f>G69*3%</f>
        <v>780.14909999999963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</row>
    <row r="70" spans="1:25" ht="15.75" hidden="1" x14ac:dyDescent="0.25">
      <c r="A70" s="1"/>
      <c r="B70" s="1"/>
      <c r="C70" s="1"/>
      <c r="D70" s="1"/>
      <c r="E70" s="1"/>
      <c r="F70" s="3">
        <f>SUM(F68:F69)</f>
        <v>59276.496200000009</v>
      </c>
      <c r="G70" s="3"/>
      <c r="H70" s="3">
        <f>SUM(H68:H69)</f>
        <v>5331.0188499999977</v>
      </c>
      <c r="I70" s="1"/>
      <c r="J70" s="24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</row>
    <row r="71" spans="1:25" ht="15.7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</row>
    <row r="72" spans="1:25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</row>
    <row r="73" spans="1:25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</row>
    <row r="74" spans="1:25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</row>
    <row r="75" spans="1:25" ht="16.5" thickBot="1" x14ac:dyDescent="0.3">
      <c r="A75" s="1"/>
      <c r="B75" s="1"/>
      <c r="C75" s="1"/>
      <c r="D75" s="1"/>
      <c r="E75" s="78"/>
      <c r="F75" s="78"/>
      <c r="G75" s="13"/>
      <c r="H75" s="13"/>
      <c r="I75" s="13"/>
      <c r="J75" s="1"/>
      <c r="K75" s="1"/>
      <c r="L75" s="1"/>
      <c r="M75" s="1"/>
      <c r="N75" s="1"/>
      <c r="O75" s="1"/>
      <c r="P75" s="1"/>
      <c r="Q75" s="79"/>
      <c r="R75" s="79"/>
      <c r="S75" s="79"/>
      <c r="T75" s="2"/>
      <c r="U75" s="1"/>
      <c r="V75" s="1"/>
      <c r="W75" s="1"/>
      <c r="X75" s="1"/>
      <c r="Y75" s="1"/>
    </row>
    <row r="76" spans="1:25" ht="15" x14ac:dyDescent="0.25">
      <c r="A76" s="1"/>
      <c r="B76" s="1"/>
      <c r="C76" s="1"/>
      <c r="D76" s="1"/>
      <c r="E76" s="80" t="s">
        <v>143</v>
      </c>
      <c r="F76" s="79"/>
      <c r="G76" s="13"/>
      <c r="H76" s="13"/>
      <c r="I76" s="13"/>
      <c r="J76" s="1"/>
      <c r="K76" s="1"/>
      <c r="L76" s="1"/>
      <c r="M76" s="1"/>
      <c r="N76" s="1"/>
      <c r="O76" s="1"/>
      <c r="P76" s="1"/>
      <c r="Q76" s="1"/>
      <c r="R76" s="1"/>
      <c r="S76" s="1"/>
      <c r="T76" s="81" t="s">
        <v>144</v>
      </c>
      <c r="U76" s="81"/>
      <c r="V76" s="13"/>
      <c r="W76" s="1"/>
      <c r="X76" s="1"/>
      <c r="Y76" s="1"/>
    </row>
    <row r="77" spans="1:25" ht="15.75" x14ac:dyDescent="0.25">
      <c r="A77" s="1"/>
      <c r="B77" s="1"/>
      <c r="C77" s="1"/>
      <c r="D77" s="1"/>
      <c r="E77" t="s">
        <v>145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 t="s">
        <v>146</v>
      </c>
      <c r="U77" s="1"/>
      <c r="V77" s="1"/>
      <c r="W77" s="1"/>
      <c r="X77" s="1"/>
      <c r="Y77" s="1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</row>
  </sheetData>
  <mergeCells count="5">
    <mergeCell ref="B4:Y4"/>
    <mergeCell ref="E75:F75"/>
    <mergeCell ref="Q75:S75"/>
    <mergeCell ref="E76:F76"/>
    <mergeCell ref="T76:U76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Segunda de Feberero 2020</vt:lpstr>
      <vt:lpstr>Hoja3</vt:lpstr>
      <vt:lpstr>'Segunda de Feberero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2023-09-06T15:35:25Z</cp:lastPrinted>
  <dcterms:created xsi:type="dcterms:W3CDTF">2020-04-01T17:47:26Z</dcterms:created>
  <dcterms:modified xsi:type="dcterms:W3CDTF">2023-09-06T15:35:36Z</dcterms:modified>
</cp:coreProperties>
</file>